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Manuals\Tutorial\Seperator design\Pressure vessel\"/>
    </mc:Choice>
  </mc:AlternateContent>
  <xr:revisionPtr revIDLastSave="0" documentId="13_ncr:1_{9B1FC669-C5F9-4F19-B0B6-1BB162169F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" l="1"/>
  <c r="G9" i="1"/>
  <c r="F9" i="1"/>
  <c r="K35" i="1"/>
  <c r="K28" i="1"/>
  <c r="K29" i="1" s="1"/>
  <c r="K21" i="1"/>
  <c r="K25" i="1" s="1"/>
  <c r="K18" i="1"/>
  <c r="K15" i="1"/>
  <c r="K14" i="1"/>
  <c r="K16" i="1" s="1"/>
  <c r="K33" i="1"/>
  <c r="K8" i="1"/>
  <c r="K7" i="1"/>
  <c r="K5" i="1"/>
  <c r="K17" i="1" l="1"/>
  <c r="K32" i="1"/>
  <c r="K22" i="1"/>
  <c r="K34" i="1"/>
  <c r="K10" i="1"/>
  <c r="K38" i="1" l="1"/>
  <c r="K39" i="1" s="1"/>
  <c r="K40" i="1" s="1"/>
  <c r="K36" i="1"/>
</calcChain>
</file>

<file path=xl/sharedStrings.xml><?xml version="1.0" encoding="utf-8"?>
<sst xmlns="http://schemas.openxmlformats.org/spreadsheetml/2006/main" count="65" uniqueCount="47">
  <si>
    <t>TOTAL</t>
  </si>
  <si>
    <t>PROPERTIES</t>
  </si>
  <si>
    <t>OUTPUT</t>
  </si>
  <si>
    <t>RHOV-RHOG-1</t>
  </si>
  <si>
    <t>VS</t>
  </si>
  <si>
    <t>VG</t>
  </si>
  <si>
    <t>QG</t>
  </si>
  <si>
    <t>ID</t>
  </si>
  <si>
    <t>SELECTED ID</t>
  </si>
  <si>
    <t>K FACTOR</t>
  </si>
  <si>
    <t>NOZZLE SIZING</t>
  </si>
  <si>
    <t>INLET</t>
  </si>
  <si>
    <t>ESTIMATED ID</t>
  </si>
  <si>
    <t>NOZZLE AREA</t>
  </si>
  <si>
    <t>RHOMIXTURE</t>
  </si>
  <si>
    <t>VM</t>
  </si>
  <si>
    <t>RHOVM2</t>
  </si>
  <si>
    <t>RHOVG2</t>
  </si>
  <si>
    <t>VAPOR</t>
  </si>
  <si>
    <t>LIQUID</t>
  </si>
  <si>
    <t>VL</t>
  </si>
  <si>
    <t>HEIGHT CALCULATION</t>
  </si>
  <si>
    <t>H8</t>
  </si>
  <si>
    <t>H7</t>
  </si>
  <si>
    <t>H6</t>
  </si>
  <si>
    <t>H5</t>
  </si>
  <si>
    <t>H4</t>
  </si>
  <si>
    <t>H3</t>
  </si>
  <si>
    <t>H2</t>
  </si>
  <si>
    <t>H1</t>
  </si>
  <si>
    <t>HT</t>
  </si>
  <si>
    <t>L/D</t>
  </si>
  <si>
    <t>GAS</t>
  </si>
  <si>
    <t>FLOW-KG/H</t>
  </si>
  <si>
    <t>DENSITY-KG/M3</t>
  </si>
  <si>
    <t>MW-KG/KMOL</t>
  </si>
  <si>
    <t>TEMPERATURE-C</t>
  </si>
  <si>
    <t>PRESSURE-BARG</t>
  </si>
  <si>
    <t>TD-C</t>
  </si>
  <si>
    <t>PD-BARG</t>
  </si>
  <si>
    <t>HALDOR TOPSOE</t>
  </si>
  <si>
    <t>VESSEL PROPERTIES</t>
  </si>
  <si>
    <t xml:space="preserve"> INLET NOZZLE ID</t>
  </si>
  <si>
    <t xml:space="preserve"> VAPOR NOZLE ID</t>
  </si>
  <si>
    <t>LIQUID NOZZLE ID</t>
  </si>
  <si>
    <t>3500</t>
  </si>
  <si>
    <t>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</si>
</sst>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rgb="FF9C57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1" applyNumberFormat="0" applyAlignment="0" applyProtection="0"/>
    <xf numFmtId="0" fontId="5" fillId="5" borderId="2" applyNumberForma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24">
    <xf numFmtId="0" fontId="0" fillId="0" borderId="0" xfId="0"/>
    <xf numFmtId="0" fontId="5" fillId="5" borderId="3" xfId="4" applyBorder="1" applyAlignment="1">
      <alignment horizontal="center"/>
    </xf>
    <xf numFmtId="0" fontId="4" fillId="4" borderId="1" xfId="3" applyAlignment="1">
      <alignment horizontal="center"/>
    </xf>
    <xf numFmtId="0" fontId="1" fillId="8" borderId="0" xfId="7" applyAlignment="1">
      <alignment horizontal="center"/>
    </xf>
    <xf numFmtId="0" fontId="2" fillId="2" borderId="1" xfId="1" applyBorder="1" applyAlignment="1">
      <alignment horizontal="center"/>
    </xf>
    <xf numFmtId="0" fontId="2" fillId="2" borderId="0" xfId="1" applyAlignment="1">
      <alignment horizontal="center"/>
    </xf>
    <xf numFmtId="0" fontId="1" fillId="8" borderId="0" xfId="7"/>
    <xf numFmtId="0" fontId="1" fillId="8" borderId="0" xfId="7" applyNumberFormat="1" applyAlignment="1">
      <alignment horizontal="center"/>
    </xf>
    <xf numFmtId="0" fontId="2" fillId="2" borderId="0" xfId="1" applyNumberFormat="1" applyAlignment="1">
      <alignment horizontal="center"/>
    </xf>
    <xf numFmtId="0" fontId="2" fillId="2" borderId="0" xfId="1"/>
    <xf numFmtId="0" fontId="5" fillId="5" borderId="2" xfId="4" applyAlignment="1">
      <alignment horizontal="center"/>
    </xf>
    <xf numFmtId="0" fontId="5" fillId="5" borderId="2" xfId="4"/>
    <xf numFmtId="0" fontId="1" fillId="6" borderId="0" xfId="5"/>
    <xf numFmtId="0" fontId="1" fillId="7" borderId="0" xfId="6"/>
    <xf numFmtId="0" fontId="6" fillId="6" borderId="0" xfId="5" applyFont="1" applyAlignment="1">
      <alignment horizontal="center"/>
    </xf>
    <xf numFmtId="0" fontId="6" fillId="7" borderId="0" xfId="6" applyFont="1" applyAlignment="1">
      <alignment horizontal="center"/>
    </xf>
    <xf numFmtId="0" fontId="7" fillId="6" borderId="0" xfId="5" applyFont="1" applyAlignment="1">
      <alignment horizontal="center"/>
    </xf>
    <xf numFmtId="0" fontId="7" fillId="7" borderId="0" xfId="6" applyFont="1" applyAlignment="1">
      <alignment horizontal="center"/>
    </xf>
    <xf numFmtId="0" fontId="7" fillId="2" borderId="0" xfId="1" applyFont="1" applyAlignment="1">
      <alignment horizontal="center"/>
    </xf>
    <xf numFmtId="0" fontId="8" fillId="3" borderId="1" xfId="2" applyFont="1" applyAlignment="1">
      <alignment horizontal="center"/>
    </xf>
    <xf numFmtId="0" fontId="9" fillId="2" borderId="0" xfId="1" applyFont="1" applyAlignment="1">
      <alignment horizontal="center"/>
    </xf>
    <xf numFmtId="0" fontId="10" fillId="3" borderId="1" xfId="2" applyFont="1" applyAlignment="1">
      <alignment horizontal="center"/>
    </xf>
    <xf numFmtId="0" fontId="11" fillId="6" borderId="0" xfId="5" applyFont="1" applyAlignment="1">
      <alignment horizontal="center"/>
    </xf>
    <xf numFmtId="0" fontId="11" fillId="7" borderId="0" xfId="6" applyFont="1" applyAlignment="1">
      <alignment horizontal="center"/>
    </xf>
  </cellXfs>
  <cellStyles count="8">
    <cellStyle name="40% - Accent5" xfId="5" builtinId="47"/>
    <cellStyle name="40% - Accent6" xfId="6" builtinId="51"/>
    <cellStyle name="60% - Accent6" xfId="7" builtinId="52"/>
    <cellStyle name="Calculation" xfId="3" builtinId="22"/>
    <cellStyle name="Check Cell" xfId="4" builtinId="23"/>
    <cellStyle name="Input" xfId="2" builtinId="20"/>
    <cellStyle name="Neutral" xfId="1" builtinId="28"/>
    <cellStyle name="Normal" xfId="0" builtinId="0"/>
  </cellStyles>
  <dxfs count="9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top style="double">
          <color rgb="FF3F3F3F"/>
        </top>
      </border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border outline="0">
        <top style="double">
          <color rgb="FF3F3F3F"/>
        </top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E1F6BD-4EE1-4573-8DE4-F60BEDB48991}" name="Table181417" displayName="Table181417" ref="C3:C11" totalsRowShown="0" headerRowDxfId="2" dataDxfId="8" headerRowCellStyle="Check Cell" dataCellStyle="Neutral">
  <tableColumns count="1">
    <tableColumn id="1" xr3:uid="{9A9D3C13-6235-419D-8B93-E77BCF523369}" name="INLET" dataDxfId="7" dataCellStyle="Neutr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323BD6-6484-4887-9672-7A24C78AC67D}" name="Table5" displayName="Table5" ref="K4:K40" totalsRowShown="0" headerRowDxfId="6" dataDxfId="5" tableBorderDxfId="4" headerRowCellStyle="60% - Accent6" dataCellStyle="60% - Accent6">
  <tableColumns count="1">
    <tableColumn id="1" xr3:uid="{A62A889C-0CA9-4009-A796-F3EBF1DD3CDA}" name="OUTPUT" dataDxfId="3" dataCellStyle="60% - Accent6">
      <calculatedColumnFormula>(C6/D6)-1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AE9CF94-EC91-4FC5-BDF5-A2EA6D67288B}" name="Table4" displayName="Table4" ref="F4:G11" totalsRowShown="0" headerRowDxfId="0" tableBorderDxfId="1" headerRowCellStyle="40% - Accent5">
  <tableColumns count="2">
    <tableColumn id="1" xr3:uid="{0E90510D-5B07-4072-85C7-DAEBE1058E32}" name="3500" dataCellStyle="40% - Accent5"/>
    <tableColumn id="2" xr3:uid="{9DE7FE04-B7A6-4221-8B28-78E6529DB704}" name="3540" dataCellStyle="40% - Accent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1"/>
  <sheetViews>
    <sheetView tabSelected="1" workbookViewId="0">
      <selection activeCell="L9" sqref="L9"/>
    </sheetView>
  </sheetViews>
  <sheetFormatPr defaultRowHeight="15" x14ac:dyDescent="0.25"/>
  <cols>
    <col min="1" max="1" width="10.5703125" customWidth="1"/>
    <col min="2" max="2" width="21.42578125" customWidth="1"/>
    <col min="3" max="3" width="20.42578125" customWidth="1"/>
    <col min="4" max="4" width="19" customWidth="1"/>
    <col min="5" max="5" width="20.140625" customWidth="1"/>
    <col min="6" max="6" width="18.7109375" customWidth="1"/>
    <col min="7" max="7" width="17.7109375" customWidth="1"/>
    <col min="10" max="10" width="19.42578125" customWidth="1"/>
    <col min="11" max="11" width="16.7109375" customWidth="1"/>
    <col min="12" max="12" width="16.42578125" customWidth="1"/>
    <col min="14" max="14" width="15.7109375" customWidth="1"/>
    <col min="15" max="15" width="16.28515625" customWidth="1"/>
  </cols>
  <sheetData>
    <row r="2" spans="2:11" ht="15.75" thickBot="1" x14ac:dyDescent="0.3"/>
    <row r="3" spans="2:11" ht="16.5" thickTop="1" thickBot="1" x14ac:dyDescent="0.3">
      <c r="B3" s="10" t="s">
        <v>11</v>
      </c>
      <c r="C3" s="10" t="s">
        <v>11</v>
      </c>
      <c r="D3" s="10" t="s">
        <v>11</v>
      </c>
      <c r="E3" s="11" t="s">
        <v>41</v>
      </c>
      <c r="F3" s="1" t="s">
        <v>40</v>
      </c>
      <c r="G3" s="1" t="s">
        <v>0</v>
      </c>
      <c r="K3" s="1" t="s">
        <v>0</v>
      </c>
    </row>
    <row r="4" spans="2:11" ht="16.5" thickTop="1" x14ac:dyDescent="0.25">
      <c r="B4" s="2" t="s">
        <v>1</v>
      </c>
      <c r="C4" s="20" t="s">
        <v>19</v>
      </c>
      <c r="D4" s="21" t="s">
        <v>32</v>
      </c>
      <c r="E4" s="2" t="s">
        <v>8</v>
      </c>
      <c r="F4" s="14" t="s">
        <v>45</v>
      </c>
      <c r="G4" s="15" t="s">
        <v>46</v>
      </c>
      <c r="J4" s="2" t="s">
        <v>1</v>
      </c>
      <c r="K4" s="3" t="s">
        <v>2</v>
      </c>
    </row>
    <row r="5" spans="2:11" ht="15.75" x14ac:dyDescent="0.25">
      <c r="B5" s="2" t="s">
        <v>33</v>
      </c>
      <c r="C5" s="18">
        <v>68415</v>
      </c>
      <c r="D5" s="19">
        <v>282206</v>
      </c>
      <c r="E5" s="2" t="s">
        <v>42</v>
      </c>
      <c r="F5" s="16">
        <v>34</v>
      </c>
      <c r="G5" s="17">
        <v>30</v>
      </c>
      <c r="J5" s="2" t="s">
        <v>3</v>
      </c>
      <c r="K5" s="3">
        <f t="shared" ref="K5" si="0">(C6/D6)-1</f>
        <v>91.429906542056088</v>
      </c>
    </row>
    <row r="6" spans="2:11" ht="15.75" x14ac:dyDescent="0.25">
      <c r="B6" s="2" t="s">
        <v>34</v>
      </c>
      <c r="C6" s="18">
        <v>989</v>
      </c>
      <c r="D6" s="19">
        <v>10.7</v>
      </c>
      <c r="E6" s="2" t="s">
        <v>43</v>
      </c>
      <c r="F6" s="16">
        <v>28</v>
      </c>
      <c r="G6" s="17">
        <v>28</v>
      </c>
      <c r="J6" s="2" t="s">
        <v>4</v>
      </c>
      <c r="K6" s="3">
        <v>0.95</v>
      </c>
    </row>
    <row r="7" spans="2:11" ht="15.75" x14ac:dyDescent="0.25">
      <c r="B7" s="2" t="s">
        <v>35</v>
      </c>
      <c r="C7" s="18"/>
      <c r="D7" s="19">
        <v>11.44</v>
      </c>
      <c r="E7" s="2" t="s">
        <v>44</v>
      </c>
      <c r="F7" s="16">
        <v>6</v>
      </c>
      <c r="G7" s="17">
        <v>8</v>
      </c>
      <c r="J7" s="2" t="s">
        <v>5</v>
      </c>
      <c r="K7" s="3">
        <f>K6*0.85</f>
        <v>0.8075</v>
      </c>
    </row>
    <row r="8" spans="2:11" ht="15.75" x14ac:dyDescent="0.25">
      <c r="B8" s="2" t="s">
        <v>36</v>
      </c>
      <c r="C8" s="18">
        <v>48</v>
      </c>
      <c r="D8" s="19">
        <v>48</v>
      </c>
      <c r="E8" s="2" t="s">
        <v>21</v>
      </c>
      <c r="F8" s="22">
        <v>4825</v>
      </c>
      <c r="G8" s="23">
        <v>4407</v>
      </c>
      <c r="J8" s="2" t="s">
        <v>6</v>
      </c>
      <c r="K8" s="3">
        <f>D5/D6/3600</f>
        <v>7.3262201453790246</v>
      </c>
    </row>
    <row r="9" spans="2:11" ht="15.75" x14ac:dyDescent="0.25">
      <c r="B9" s="2" t="s">
        <v>37</v>
      </c>
      <c r="C9" s="18">
        <v>24</v>
      </c>
      <c r="D9" s="19">
        <v>24</v>
      </c>
      <c r="E9" s="2" t="s">
        <v>31</v>
      </c>
      <c r="F9" s="22">
        <f>F8/Table4[[#Headers],[3500]]</f>
        <v>1.3785714285714286</v>
      </c>
      <c r="G9" s="23">
        <f>G8/Table4[[#Headers],[3540]]</f>
        <v>1.2449152542372881</v>
      </c>
      <c r="J9" s="2" t="s">
        <v>7</v>
      </c>
      <c r="K9" s="3">
        <f>(4*K8/K7/3.14)^0.5</f>
        <v>3.3996474988287768</v>
      </c>
    </row>
    <row r="10" spans="2:11" ht="15.75" x14ac:dyDescent="0.25">
      <c r="B10" s="2" t="s">
        <v>38</v>
      </c>
      <c r="C10" s="18">
        <v>100</v>
      </c>
      <c r="D10" s="19">
        <v>100</v>
      </c>
      <c r="E10" s="2"/>
      <c r="F10" s="12"/>
      <c r="G10" s="13"/>
      <c r="J10" s="2" t="s">
        <v>8</v>
      </c>
      <c r="K10" s="3">
        <f>K9+0.15</f>
        <v>3.5496474988287767</v>
      </c>
    </row>
    <row r="11" spans="2:11" ht="15.75" x14ac:dyDescent="0.25">
      <c r="B11" s="2" t="s">
        <v>39</v>
      </c>
      <c r="C11" s="18">
        <v>29</v>
      </c>
      <c r="D11" s="19">
        <v>29</v>
      </c>
      <c r="E11" s="2"/>
      <c r="F11" s="12"/>
      <c r="G11" s="13"/>
      <c r="J11" s="2" t="s">
        <v>9</v>
      </c>
      <c r="K11" s="3"/>
    </row>
    <row r="12" spans="2:11" x14ac:dyDescent="0.25">
      <c r="J12" s="4" t="s">
        <v>10</v>
      </c>
      <c r="K12" s="5" t="s">
        <v>11</v>
      </c>
    </row>
    <row r="13" spans="2:11" x14ac:dyDescent="0.25">
      <c r="J13" s="2" t="s">
        <v>12</v>
      </c>
      <c r="K13" s="3">
        <v>30</v>
      </c>
    </row>
    <row r="14" spans="2:11" x14ac:dyDescent="0.25">
      <c r="J14" s="2" t="s">
        <v>13</v>
      </c>
      <c r="K14" s="3">
        <f>PI()/4*(K13*25.4/1000)^2</f>
        <v>0.45603673118774801</v>
      </c>
    </row>
    <row r="15" spans="2:11" x14ac:dyDescent="0.25">
      <c r="J15" s="2" t="s">
        <v>14</v>
      </c>
      <c r="K15" s="3">
        <f>(C5+D5)/((C5/C6)+(D5/D6))</f>
        <v>13.259216529275667</v>
      </c>
    </row>
    <row r="16" spans="2:11" x14ac:dyDescent="0.25">
      <c r="J16" s="2" t="s">
        <v>15</v>
      </c>
      <c r="K16" s="3">
        <f xml:space="preserve"> (C5+D5)/K15/K14/3600</f>
        <v>16.107114143696013</v>
      </c>
    </row>
    <row r="17" spans="10:11" x14ac:dyDescent="0.25">
      <c r="J17" s="2" t="s">
        <v>16</v>
      </c>
      <c r="K17" s="3">
        <f>K15*(K16^2)</f>
        <v>3439.9595483045737</v>
      </c>
    </row>
    <row r="18" spans="10:11" x14ac:dyDescent="0.25">
      <c r="J18" s="2" t="s">
        <v>17</v>
      </c>
      <c r="K18" s="3">
        <f>D6*((D5/D6/3600/K14)^2)</f>
        <v>2761.4937131994639</v>
      </c>
    </row>
    <row r="19" spans="10:11" x14ac:dyDescent="0.25">
      <c r="J19" s="4" t="s">
        <v>10</v>
      </c>
      <c r="K19" s="5" t="s">
        <v>18</v>
      </c>
    </row>
    <row r="20" spans="10:11" x14ac:dyDescent="0.25">
      <c r="J20" s="2" t="s">
        <v>12</v>
      </c>
      <c r="K20" s="3">
        <v>28</v>
      </c>
    </row>
    <row r="21" spans="10:11" x14ac:dyDescent="0.25">
      <c r="J21" s="2" t="s">
        <v>13</v>
      </c>
      <c r="K21" s="6">
        <f>PI()/4*(K20*25.4/1000)^2</f>
        <v>0.39725866361243817</v>
      </c>
    </row>
    <row r="22" spans="10:11" x14ac:dyDescent="0.25">
      <c r="J22" s="2" t="s">
        <v>5</v>
      </c>
      <c r="K22" s="6">
        <f>D5/D6/3600/K21</f>
        <v>18.441939261333307</v>
      </c>
    </row>
    <row r="23" spans="10:11" x14ac:dyDescent="0.25">
      <c r="J23" s="2"/>
      <c r="K23" s="7"/>
    </row>
    <row r="24" spans="10:11" x14ac:dyDescent="0.25">
      <c r="J24" s="2"/>
      <c r="K24" s="7"/>
    </row>
    <row r="25" spans="10:11" x14ac:dyDescent="0.25">
      <c r="J25" s="2" t="s">
        <v>17</v>
      </c>
      <c r="K25" s="7">
        <f>D6*((D5/D6/3600/K21)^2)</f>
        <v>3639.1248237901632</v>
      </c>
    </row>
    <row r="26" spans="10:11" x14ac:dyDescent="0.25">
      <c r="J26" s="4" t="s">
        <v>10</v>
      </c>
      <c r="K26" s="8" t="s">
        <v>19</v>
      </c>
    </row>
    <row r="27" spans="10:11" x14ac:dyDescent="0.25">
      <c r="J27" s="2" t="s">
        <v>12</v>
      </c>
      <c r="K27" s="7">
        <v>8</v>
      </c>
    </row>
    <row r="28" spans="10:11" x14ac:dyDescent="0.25">
      <c r="J28" s="2" t="s">
        <v>13</v>
      </c>
      <c r="K28" s="7">
        <f>PI()/4*(K27*25.4/1000)^2</f>
        <v>3.2429278662239852E-2</v>
      </c>
    </row>
    <row r="29" spans="10:11" x14ac:dyDescent="0.25">
      <c r="J29" s="2" t="s">
        <v>20</v>
      </c>
      <c r="K29" s="7">
        <f>C5/C6/3600/K28</f>
        <v>0.59253669439220236</v>
      </c>
    </row>
    <row r="30" spans="10:11" x14ac:dyDescent="0.25">
      <c r="J30" s="4" t="s">
        <v>21</v>
      </c>
      <c r="K30" s="8"/>
    </row>
    <row r="31" spans="10:11" x14ac:dyDescent="0.25">
      <c r="J31" s="2" t="s">
        <v>22</v>
      </c>
      <c r="K31" s="7">
        <v>150</v>
      </c>
    </row>
    <row r="32" spans="10:11" x14ac:dyDescent="0.25">
      <c r="J32" s="2" t="s">
        <v>23</v>
      </c>
      <c r="K32" s="7">
        <f>ROUNDUP(MAX(150,2*C5/C6/60/(PI()/4*K9^2)*1000),0)</f>
        <v>255</v>
      </c>
    </row>
    <row r="33" spans="10:11" x14ac:dyDescent="0.25">
      <c r="J33" s="2" t="s">
        <v>24</v>
      </c>
      <c r="K33" s="7">
        <f>ROUNDUP(MAX(350,4*C5/C6/60/(PI()/4*K9^2)*1000),0)</f>
        <v>509</v>
      </c>
    </row>
    <row r="34" spans="10:11" x14ac:dyDescent="0.25">
      <c r="J34" s="2" t="s">
        <v>25</v>
      </c>
      <c r="K34" s="7">
        <f>ROUNDUP(MAX(200,2*C5/C6/60/(PI()/4*K9^2)*1000),0)</f>
        <v>255</v>
      </c>
    </row>
    <row r="35" spans="10:11" x14ac:dyDescent="0.25">
      <c r="J35" s="2" t="s">
        <v>26</v>
      </c>
      <c r="K35" s="7">
        <f>400+(K13*25.4/2)</f>
        <v>781</v>
      </c>
    </row>
    <row r="36" spans="10:11" x14ac:dyDescent="0.25">
      <c r="J36" s="2" t="s">
        <v>27</v>
      </c>
      <c r="K36" s="7">
        <f>MAX(0.5*K10*1000,600)</f>
        <v>1774.8237494143884</v>
      </c>
    </row>
    <row r="37" spans="10:11" x14ac:dyDescent="0.25">
      <c r="J37" s="2" t="s">
        <v>28</v>
      </c>
      <c r="K37" s="7">
        <v>150</v>
      </c>
    </row>
    <row r="38" spans="10:11" x14ac:dyDescent="0.25">
      <c r="J38" s="2" t="s">
        <v>29</v>
      </c>
      <c r="K38" s="7">
        <f>MAX(0.15*K10*1000,400)</f>
        <v>532.44712482431646</v>
      </c>
    </row>
    <row r="39" spans="10:11" x14ac:dyDescent="0.25">
      <c r="J39" s="2" t="s">
        <v>30</v>
      </c>
      <c r="K39" s="7">
        <f>SUM(K31:K38)</f>
        <v>4407.2708742387049</v>
      </c>
    </row>
    <row r="40" spans="10:11" x14ac:dyDescent="0.25">
      <c r="J40" s="2" t="s">
        <v>31</v>
      </c>
      <c r="K40" s="7">
        <f>K39*0.001/K10</f>
        <v>1.2416080401484668</v>
      </c>
    </row>
    <row r="41" spans="10:11" x14ac:dyDescent="0.25">
      <c r="J41" s="4" t="s">
        <v>21</v>
      </c>
      <c r="K41" s="9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Behrouzi Mohamadreza</dc:creator>
  <cp:lastModifiedBy>Behrouzi Mohamadreza</cp:lastModifiedBy>
  <dcterms:created xsi:type="dcterms:W3CDTF">2015-06-05T18:17:20Z</dcterms:created>
  <dcterms:modified xsi:type="dcterms:W3CDTF">2022-06-03T23:16:04Z</dcterms:modified>
</cp:coreProperties>
</file>