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anuals\Tutorial\FLARE\EIEPD Package\Sizing Analysis\"/>
    </mc:Choice>
  </mc:AlternateContent>
  <xr:revisionPtr revIDLastSave="0" documentId="13_ncr:1_{24B4F444-EA86-48BA-BD1A-AFAF9A136BA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ydraulic Expansion Scenario" sheetId="4" r:id="rId1"/>
    <sheet name="Fire Scenario" sheetId="2" r:id="rId2"/>
    <sheet name="Tube Rupture Scenario" sheetId="3" r:id="rId3"/>
    <sheet name="Blocked Outlet Scenario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E44" i="4"/>
  <c r="E43" i="4"/>
  <c r="E34" i="4"/>
  <c r="I20" i="5"/>
  <c r="J30" i="3"/>
  <c r="J8" i="3"/>
  <c r="F30" i="3"/>
  <c r="F24" i="3"/>
  <c r="F25" i="3"/>
  <c r="J13" i="3"/>
  <c r="Z10" i="2"/>
  <c r="Z20" i="2"/>
  <c r="Z7" i="2"/>
  <c r="Z6" i="2"/>
  <c r="Z8" i="2" s="1"/>
  <c r="Z9" i="2" s="1"/>
  <c r="J24" i="2"/>
  <c r="V10" i="2"/>
  <c r="V31" i="2"/>
  <c r="V28" i="2"/>
  <c r="Z22" i="2" l="1"/>
  <c r="Z24" i="2" s="1"/>
  <c r="V6" i="3"/>
  <c r="R6" i="3"/>
  <c r="R22" i="3"/>
  <c r="M8" i="4"/>
  <c r="M12" i="4" s="1"/>
  <c r="E12" i="4"/>
  <c r="E17" i="4" s="1"/>
  <c r="I17" i="4"/>
  <c r="I12" i="4"/>
  <c r="V7" i="2"/>
  <c r="R7" i="2"/>
  <c r="V20" i="2"/>
  <c r="V6" i="2"/>
  <c r="J9" i="3"/>
  <c r="F24" i="2"/>
  <c r="F22" i="2"/>
  <c r="F20" i="2"/>
  <c r="F16" i="2"/>
  <c r="B22" i="2"/>
  <c r="R22" i="2"/>
  <c r="N22" i="2"/>
  <c r="J22" i="2"/>
  <c r="V8" i="2" l="1"/>
  <c r="J9" i="2"/>
  <c r="N10" i="2"/>
  <c r="B10" i="2"/>
  <c r="R8" i="2"/>
  <c r="R9" i="2" s="1"/>
  <c r="R10" i="2" s="1"/>
  <c r="R6" i="2"/>
  <c r="R20" i="2"/>
  <c r="R16" i="2"/>
  <c r="M8" i="5"/>
  <c r="M14" i="5"/>
  <c r="M13" i="5"/>
  <c r="I21" i="5"/>
  <c r="E21" i="5"/>
  <c r="I14" i="5"/>
  <c r="I13" i="5"/>
  <c r="I18" i="5" s="1"/>
  <c r="E14" i="5"/>
  <c r="E13" i="5"/>
  <c r="I27" i="4"/>
  <c r="E27" i="4"/>
  <c r="I25" i="4"/>
  <c r="E25" i="4"/>
  <c r="I24" i="4"/>
  <c r="E24" i="4"/>
  <c r="I9" i="4"/>
  <c r="E9" i="4"/>
  <c r="I8" i="4"/>
  <c r="E8" i="4"/>
  <c r="J26" i="3"/>
  <c r="F26" i="3"/>
  <c r="B26" i="3"/>
  <c r="J24" i="3"/>
  <c r="B24" i="3"/>
  <c r="J23" i="3"/>
  <c r="F23" i="3"/>
  <c r="B23" i="3"/>
  <c r="N22" i="3"/>
  <c r="J21" i="3"/>
  <c r="F21" i="3"/>
  <c r="B21" i="3"/>
  <c r="N14" i="3"/>
  <c r="F9" i="3"/>
  <c r="B8" i="3"/>
  <c r="B9" i="3" s="1"/>
  <c r="N6" i="3"/>
  <c r="N20" i="2"/>
  <c r="J20" i="2"/>
  <c r="B20" i="2"/>
  <c r="N16" i="2"/>
  <c r="J16" i="2"/>
  <c r="B16" i="2"/>
  <c r="N8" i="2"/>
  <c r="N9" i="2" s="1"/>
  <c r="J8" i="2"/>
  <c r="J10" i="2" s="1"/>
  <c r="F8" i="2"/>
  <c r="F9" i="2" s="1"/>
  <c r="F10" i="2" s="1"/>
  <c r="B8" i="2"/>
  <c r="B9" i="2" s="1"/>
  <c r="N7" i="2"/>
  <c r="J7" i="2"/>
  <c r="F7" i="2"/>
  <c r="B7" i="2"/>
  <c r="N6" i="2"/>
  <c r="J6" i="2"/>
  <c r="F6" i="2"/>
  <c r="B6" i="2"/>
  <c r="V9" i="2" l="1"/>
  <c r="V22" i="2" s="1"/>
  <c r="V24" i="2" s="1"/>
  <c r="F32" i="3"/>
  <c r="J25" i="3"/>
  <c r="J32" i="3" s="1"/>
  <c r="F13" i="3"/>
  <c r="F31" i="3" s="1"/>
  <c r="B25" i="3"/>
  <c r="B32" i="3" s="1"/>
  <c r="N24" i="2"/>
  <c r="R24" i="2"/>
  <c r="R26" i="2" s="1"/>
  <c r="M18" i="5"/>
  <c r="M20" i="5" s="1"/>
  <c r="M21" i="5" s="1"/>
  <c r="E20" i="5"/>
  <c r="E35" i="4"/>
  <c r="I43" i="4"/>
  <c r="I44" i="4" s="1"/>
  <c r="I34" i="4"/>
  <c r="I35" i="4" s="1"/>
  <c r="B13" i="3"/>
  <c r="B24" i="2"/>
  <c r="I46" i="4" l="1"/>
  <c r="I39" i="4"/>
  <c r="I41" i="4"/>
  <c r="E41" i="4"/>
  <c r="E39" i="4"/>
  <c r="B31" i="3"/>
  <c r="B30" i="3"/>
  <c r="J31" i="3"/>
</calcChain>
</file>

<file path=xl/sharedStrings.xml><?xml version="1.0" encoding="utf-8"?>
<sst xmlns="http://schemas.openxmlformats.org/spreadsheetml/2006/main" count="604" uniqueCount="110">
  <si>
    <t>PSV-1015</t>
  </si>
  <si>
    <t>PSV-1031</t>
  </si>
  <si>
    <t>PSV-1038</t>
  </si>
  <si>
    <t>PSV-1043</t>
  </si>
  <si>
    <t>Parameters</t>
  </si>
  <si>
    <t>Value</t>
  </si>
  <si>
    <t>Unit</t>
  </si>
  <si>
    <t>Operating Pressure</t>
  </si>
  <si>
    <t>bara</t>
  </si>
  <si>
    <t xml:space="preserve">Design Pressure </t>
  </si>
  <si>
    <t>barg</t>
  </si>
  <si>
    <t xml:space="preserve">Relieving Pressure </t>
  </si>
  <si>
    <t xml:space="preserve">Operating Temperature </t>
  </si>
  <si>
    <t>K</t>
  </si>
  <si>
    <t xml:space="preserve">Relieving Temperature </t>
  </si>
  <si>
    <t>C</t>
  </si>
  <si>
    <t>Finalized Relieving Tem.</t>
  </si>
  <si>
    <t>Calculation</t>
  </si>
  <si>
    <t>ID</t>
  </si>
  <si>
    <t>T-T</t>
  </si>
  <si>
    <t>AW</t>
  </si>
  <si>
    <t>C9</t>
  </si>
  <si>
    <t>C10</t>
  </si>
  <si>
    <t>KD</t>
  </si>
  <si>
    <t>F"</t>
  </si>
  <si>
    <t>M</t>
  </si>
  <si>
    <t>Mass</t>
  </si>
  <si>
    <t>E-3003</t>
  </si>
  <si>
    <t>E-2027</t>
  </si>
  <si>
    <t>E-2025</t>
  </si>
  <si>
    <t>E-5001</t>
  </si>
  <si>
    <t>mm</t>
  </si>
  <si>
    <t>Kg</t>
  </si>
  <si>
    <t>ρ</t>
  </si>
  <si>
    <t>P1</t>
  </si>
  <si>
    <t>∆P</t>
  </si>
  <si>
    <t>Wg</t>
  </si>
  <si>
    <t>Z</t>
  </si>
  <si>
    <t>T</t>
  </si>
  <si>
    <t>E-5002</t>
  </si>
  <si>
    <t>P atm</t>
  </si>
  <si>
    <t>W</t>
  </si>
  <si>
    <t>Pset</t>
  </si>
  <si>
    <t>Rel.Temp.</t>
  </si>
  <si>
    <t>Pb</t>
  </si>
  <si>
    <t>MW</t>
  </si>
  <si>
    <t>E-5003</t>
  </si>
  <si>
    <t>Cp/Cv</t>
  </si>
  <si>
    <t>Overpressure</t>
  </si>
  <si>
    <t>Pb/Pset</t>
  </si>
  <si>
    <t>PSV Type</t>
  </si>
  <si>
    <t>Rel.Pressure</t>
  </si>
  <si>
    <t>Pcritical/Prel</t>
  </si>
  <si>
    <t>Pcritical</t>
  </si>
  <si>
    <t>Kb</t>
  </si>
  <si>
    <t>Kc</t>
  </si>
  <si>
    <t>Kd</t>
  </si>
  <si>
    <t>Required A</t>
  </si>
  <si>
    <t>cm2</t>
  </si>
  <si>
    <t>in2</t>
  </si>
  <si>
    <t>PSV Tag</t>
  </si>
  <si>
    <t>PSV-5370</t>
  </si>
  <si>
    <t>PSV-5339</t>
  </si>
  <si>
    <t>Scenario</t>
  </si>
  <si>
    <t>Hydraulic Expansion</t>
  </si>
  <si>
    <t>Parameter</t>
  </si>
  <si>
    <t>av ( 1/k )</t>
  </si>
  <si>
    <t>duty (watts)</t>
  </si>
  <si>
    <t xml:space="preserve">specific gravity </t>
  </si>
  <si>
    <t>c ( J/kg.K)</t>
  </si>
  <si>
    <t>Q Calculation</t>
  </si>
  <si>
    <t>No. of PSVs</t>
  </si>
  <si>
    <t>Non-Fire</t>
  </si>
  <si>
    <t>Patm</t>
  </si>
  <si>
    <t>Q</t>
  </si>
  <si>
    <t>lit/min</t>
  </si>
  <si>
    <t>Rel. Temp.</t>
  </si>
  <si>
    <t>°C</t>
  </si>
  <si>
    <t>SG</t>
  </si>
  <si>
    <t>μ</t>
  </si>
  <si>
    <t>cP</t>
  </si>
  <si>
    <t>overpressure</t>
  </si>
  <si>
    <t>Conventional</t>
  </si>
  <si>
    <t>Rel. Press.</t>
  </si>
  <si>
    <t>kv</t>
  </si>
  <si>
    <t>kw</t>
  </si>
  <si>
    <t>kc</t>
  </si>
  <si>
    <t>kd</t>
  </si>
  <si>
    <t>mm2</t>
  </si>
  <si>
    <t>Selected Area</t>
  </si>
  <si>
    <t>PSV Designation</t>
  </si>
  <si>
    <t>0.75-D-1</t>
  </si>
  <si>
    <t>Actual Flow</t>
  </si>
  <si>
    <t>check oversize</t>
  </si>
  <si>
    <t>Re</t>
  </si>
  <si>
    <t>New Required A</t>
  </si>
  <si>
    <t>KSH</t>
  </si>
  <si>
    <t>KN</t>
  </si>
  <si>
    <t>A</t>
  </si>
  <si>
    <t>PSV-2121/2122</t>
  </si>
  <si>
    <t>Blocked Outlet</t>
  </si>
  <si>
    <t>inch2</t>
  </si>
  <si>
    <t>PSV-3047/3048/3057</t>
  </si>
  <si>
    <t>PSV-2494</t>
  </si>
  <si>
    <t>PSV-3163</t>
  </si>
  <si>
    <t>Orifice Area</t>
  </si>
  <si>
    <t>PSV-3163B</t>
  </si>
  <si>
    <t>E-5024</t>
  </si>
  <si>
    <t>E-5023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</si>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</sst>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Arial"/>
      <family val="2"/>
    </font>
    <font>
      <sz val="11"/>
      <color rgb="FF3F3F7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23" applyNumberFormat="0" applyAlignment="0" applyProtection="0"/>
  </cellStyleXfs>
  <cellXfs count="1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14" xfId="0" applyFont="1" applyFill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20" xfId="0" applyFill="1" applyBorder="1"/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/>
    <xf numFmtId="0" fontId="0" fillId="3" borderId="7" xfId="0" applyFill="1" applyBorder="1" applyAlignment="1">
      <alignment horizontal="center"/>
    </xf>
    <xf numFmtId="0" fontId="2" fillId="3" borderId="5" xfId="0" applyFont="1" applyFill="1" applyBorder="1"/>
    <xf numFmtId="0" fontId="0" fillId="3" borderId="8" xfId="0" applyFill="1" applyBorder="1"/>
    <xf numFmtId="0" fontId="0" fillId="3" borderId="9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10" xfId="0" applyFill="1" applyBorder="1"/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9" fontId="1" fillId="3" borderId="6" xfId="0" applyNumberFormat="1" applyFont="1" applyFill="1" applyBorder="1" applyAlignment="1">
      <alignment horizontal="center"/>
    </xf>
    <xf numFmtId="10" fontId="1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4">
    <cellStyle name="Bad" xfId="1" builtinId="27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52A1-B629-4982-B830-05547A5858FD}">
  <dimension ref="D4:N47"/>
  <sheetViews>
    <sheetView topLeftCell="A5" zoomScale="80" zoomScaleNormal="80" workbookViewId="0">
      <selection activeCell="E47" sqref="E47"/>
    </sheetView>
  </sheetViews>
  <sheetFormatPr defaultRowHeight="14.4" x14ac:dyDescent="0.3"/>
  <cols>
    <col min="4" max="4" width="17.5546875" customWidth="1"/>
    <col min="5" max="5" width="17.88671875" customWidth="1"/>
    <col min="6" max="6" width="17.44140625" customWidth="1"/>
    <col min="8" max="8" width="19.21875" customWidth="1"/>
    <col min="9" max="9" width="18.33203125" customWidth="1"/>
    <col min="10" max="10" width="14.33203125" customWidth="1"/>
    <col min="12" max="12" width="18.44140625" customWidth="1"/>
    <col min="13" max="13" width="15.6640625" customWidth="1"/>
  </cols>
  <sheetData>
    <row r="4" spans="4:14" ht="16.8" customHeight="1" thickBot="1" x14ac:dyDescent="0.35"/>
    <row r="5" spans="4:14" ht="18" customHeight="1" x14ac:dyDescent="0.3">
      <c r="D5" s="39" t="s">
        <v>60</v>
      </c>
      <c r="E5" s="103" t="s">
        <v>61</v>
      </c>
      <c r="F5" s="104"/>
      <c r="H5" s="39" t="s">
        <v>60</v>
      </c>
      <c r="I5" s="103" t="s">
        <v>62</v>
      </c>
      <c r="J5" s="104"/>
      <c r="L5" s="39" t="s">
        <v>60</v>
      </c>
      <c r="M5" s="103" t="s">
        <v>61</v>
      </c>
      <c r="N5" s="104"/>
    </row>
    <row r="6" spans="4:14" ht="18" customHeight="1" thickBot="1" x14ac:dyDescent="0.35">
      <c r="D6" s="40" t="s">
        <v>63</v>
      </c>
      <c r="E6" s="105" t="s">
        <v>64</v>
      </c>
      <c r="F6" s="106"/>
      <c r="H6" s="40" t="s">
        <v>63</v>
      </c>
      <c r="I6" s="105" t="s">
        <v>64</v>
      </c>
      <c r="J6" s="106"/>
      <c r="L6" s="40" t="s">
        <v>63</v>
      </c>
      <c r="M6" s="105" t="s">
        <v>64</v>
      </c>
      <c r="N6" s="106"/>
    </row>
    <row r="7" spans="4:14" ht="17.399999999999999" customHeight="1" x14ac:dyDescent="0.3">
      <c r="D7" s="41" t="s">
        <v>65</v>
      </c>
      <c r="E7" s="42" t="s">
        <v>5</v>
      </c>
      <c r="F7" s="43" t="s">
        <v>6</v>
      </c>
      <c r="H7" s="41" t="s">
        <v>65</v>
      </c>
      <c r="I7" s="42" t="s">
        <v>5</v>
      </c>
      <c r="J7" s="43" t="s">
        <v>6</v>
      </c>
      <c r="L7" s="41" t="s">
        <v>65</v>
      </c>
      <c r="M7" s="42" t="s">
        <v>5</v>
      </c>
      <c r="N7" s="43" t="s">
        <v>6</v>
      </c>
    </row>
    <row r="8" spans="4:14" x14ac:dyDescent="0.3">
      <c r="D8" s="44" t="s">
        <v>66</v>
      </c>
      <c r="E8" s="45">
        <f>4.54 * 10^-4</f>
        <v>4.5400000000000003E-4</v>
      </c>
      <c r="F8" s="46"/>
      <c r="H8" s="44" t="s">
        <v>66</v>
      </c>
      <c r="I8" s="47">
        <f>4.54 * 10^-4</f>
        <v>4.5400000000000003E-4</v>
      </c>
      <c r="J8" s="46"/>
      <c r="L8" s="44" t="s">
        <v>66</v>
      </c>
      <c r="M8" s="45">
        <f>4.54 * 10^-4</f>
        <v>4.5400000000000003E-4</v>
      </c>
      <c r="N8" s="46"/>
    </row>
    <row r="9" spans="4:14" x14ac:dyDescent="0.3">
      <c r="D9" s="44" t="s">
        <v>67</v>
      </c>
      <c r="E9" s="45">
        <f xml:space="preserve"> 0.16 * 10 ^6</f>
        <v>160000</v>
      </c>
      <c r="F9" s="46"/>
      <c r="H9" s="44" t="s">
        <v>67</v>
      </c>
      <c r="I9" s="47">
        <f xml:space="preserve"> 3.6 * 10 ^6</f>
        <v>3600000</v>
      </c>
      <c r="J9" s="46"/>
      <c r="L9" s="44" t="s">
        <v>67</v>
      </c>
      <c r="M9" s="45">
        <v>3600000</v>
      </c>
      <c r="N9" s="46"/>
    </row>
    <row r="10" spans="4:14" x14ac:dyDescent="0.3">
      <c r="D10" s="44" t="s">
        <v>68</v>
      </c>
      <c r="E10" s="45">
        <v>0.99</v>
      </c>
      <c r="F10" s="46"/>
      <c r="H10" s="44" t="s">
        <v>68</v>
      </c>
      <c r="I10" s="47">
        <v>0.99</v>
      </c>
      <c r="J10" s="46"/>
      <c r="L10" s="44" t="s">
        <v>68</v>
      </c>
      <c r="M10" s="45">
        <v>0.99</v>
      </c>
      <c r="N10" s="46"/>
    </row>
    <row r="11" spans="4:14" x14ac:dyDescent="0.3">
      <c r="D11" s="44" t="s">
        <v>69</v>
      </c>
      <c r="E11" s="45">
        <v>4176</v>
      </c>
      <c r="F11" s="46"/>
      <c r="H11" s="44" t="s">
        <v>69</v>
      </c>
      <c r="I11" s="47">
        <v>4176</v>
      </c>
      <c r="J11" s="46"/>
      <c r="L11" s="44" t="s">
        <v>69</v>
      </c>
      <c r="M11" s="45">
        <v>4176</v>
      </c>
      <c r="N11" s="46"/>
    </row>
    <row r="12" spans="4:14" ht="15" thickBot="1" x14ac:dyDescent="0.35">
      <c r="D12" s="48" t="s">
        <v>70</v>
      </c>
      <c r="E12" s="49">
        <f xml:space="preserve"> E8*E9*60000/(1000*E10*E11)</f>
        <v>1.0542203645651922</v>
      </c>
      <c r="F12" s="50"/>
      <c r="H12" s="48" t="s">
        <v>70</v>
      </c>
      <c r="I12" s="49">
        <f xml:space="preserve"> I8*I9*60000/(1000*I10*I11)</f>
        <v>23.719958202716825</v>
      </c>
      <c r="J12" s="50"/>
      <c r="L12" s="48" t="s">
        <v>70</v>
      </c>
      <c r="M12" s="49">
        <f xml:space="preserve"> M8*M9*60000/(1000*M10*M11)</f>
        <v>23.719958202716825</v>
      </c>
      <c r="N12" s="50"/>
    </row>
    <row r="13" spans="4:14" ht="15" thickBot="1" x14ac:dyDescent="0.35"/>
    <row r="14" spans="4:14" x14ac:dyDescent="0.3">
      <c r="D14" s="51" t="s">
        <v>71</v>
      </c>
      <c r="E14" s="52">
        <v>1</v>
      </c>
      <c r="F14" s="53" t="s">
        <v>6</v>
      </c>
      <c r="H14" s="51" t="s">
        <v>71</v>
      </c>
      <c r="I14" s="52">
        <v>1</v>
      </c>
      <c r="J14" s="53" t="s">
        <v>6</v>
      </c>
    </row>
    <row r="15" spans="4:14" x14ac:dyDescent="0.3">
      <c r="D15" s="44" t="s">
        <v>63</v>
      </c>
      <c r="E15" s="8" t="s">
        <v>72</v>
      </c>
      <c r="F15" s="54"/>
      <c r="H15" s="44" t="s">
        <v>63</v>
      </c>
      <c r="I15" s="8" t="s">
        <v>72</v>
      </c>
      <c r="J15" s="54"/>
    </row>
    <row r="16" spans="4:14" x14ac:dyDescent="0.3">
      <c r="D16" s="44" t="s">
        <v>73</v>
      </c>
      <c r="E16" s="8">
        <v>1.0132000000000001</v>
      </c>
      <c r="F16" s="54" t="s">
        <v>8</v>
      </c>
      <c r="H16" s="44" t="s">
        <v>73</v>
      </c>
      <c r="I16" s="8">
        <v>1.0132000000000001</v>
      </c>
      <c r="J16" s="54" t="s">
        <v>8</v>
      </c>
    </row>
    <row r="17" spans="4:10" x14ac:dyDescent="0.3">
      <c r="D17" s="44" t="s">
        <v>74</v>
      </c>
      <c r="E17" s="8">
        <f>E12</f>
        <v>1.0542203645651922</v>
      </c>
      <c r="F17" s="54" t="s">
        <v>75</v>
      </c>
      <c r="H17" s="44" t="s">
        <v>74</v>
      </c>
      <c r="I17" s="8">
        <f>I12</f>
        <v>23.719958202716825</v>
      </c>
      <c r="J17" s="54" t="s">
        <v>75</v>
      </c>
    </row>
    <row r="18" spans="4:10" x14ac:dyDescent="0.3">
      <c r="D18" s="44" t="s">
        <v>42</v>
      </c>
      <c r="E18" s="8">
        <v>7.5</v>
      </c>
      <c r="F18" s="54" t="s">
        <v>10</v>
      </c>
      <c r="H18" s="44" t="s">
        <v>42</v>
      </c>
      <c r="I18" s="8">
        <v>7.5</v>
      </c>
      <c r="J18" s="54" t="s">
        <v>10</v>
      </c>
    </row>
    <row r="19" spans="4:10" x14ac:dyDescent="0.3">
      <c r="D19" s="44" t="s">
        <v>76</v>
      </c>
      <c r="E19" s="8">
        <v>50</v>
      </c>
      <c r="F19" s="54" t="s">
        <v>77</v>
      </c>
      <c r="H19" s="44" t="s">
        <v>76</v>
      </c>
      <c r="I19" s="8">
        <v>50</v>
      </c>
      <c r="J19" s="54" t="s">
        <v>77</v>
      </c>
    </row>
    <row r="20" spans="4:10" x14ac:dyDescent="0.3">
      <c r="D20" s="44" t="s">
        <v>44</v>
      </c>
      <c r="E20" s="8">
        <v>0</v>
      </c>
      <c r="F20" s="54" t="s">
        <v>10</v>
      </c>
      <c r="H20" s="44" t="s">
        <v>44</v>
      </c>
      <c r="I20" s="8">
        <v>0</v>
      </c>
      <c r="J20" s="54" t="s">
        <v>10</v>
      </c>
    </row>
    <row r="21" spans="4:10" x14ac:dyDescent="0.3">
      <c r="D21" s="44" t="s">
        <v>78</v>
      </c>
      <c r="E21" s="8">
        <v>0.99</v>
      </c>
      <c r="F21" s="54"/>
      <c r="H21" s="44" t="s">
        <v>78</v>
      </c>
      <c r="I21" s="8">
        <v>0.99</v>
      </c>
      <c r="J21" s="54"/>
    </row>
    <row r="22" spans="4:10" x14ac:dyDescent="0.3">
      <c r="D22" s="44" t="s">
        <v>79</v>
      </c>
      <c r="E22" s="8">
        <v>0.63</v>
      </c>
      <c r="F22" s="54" t="s">
        <v>80</v>
      </c>
      <c r="H22" s="44" t="s">
        <v>79</v>
      </c>
      <c r="I22" s="8">
        <v>0.63</v>
      </c>
      <c r="J22" s="54" t="s">
        <v>80</v>
      </c>
    </row>
    <row r="23" spans="4:10" x14ac:dyDescent="0.3">
      <c r="D23" s="44"/>
      <c r="E23" s="8"/>
      <c r="F23" s="54"/>
      <c r="H23" s="44"/>
      <c r="I23" s="8"/>
      <c r="J23" s="54"/>
    </row>
    <row r="24" spans="4:10" x14ac:dyDescent="0.3">
      <c r="D24" s="44" t="s">
        <v>81</v>
      </c>
      <c r="E24" s="55">
        <f>IF(E15="Fire",0.21,IF(E14&gt;1,0.16,0.1))</f>
        <v>0.1</v>
      </c>
      <c r="F24" s="54"/>
      <c r="H24" s="44" t="s">
        <v>81</v>
      </c>
      <c r="I24" s="55">
        <f>IF(I15="Fire",0.21,IF(I14&gt;1,0.16,0.1))</f>
        <v>0.1</v>
      </c>
      <c r="J24" s="54"/>
    </row>
    <row r="25" spans="4:10" x14ac:dyDescent="0.3">
      <c r="D25" s="44" t="s">
        <v>49</v>
      </c>
      <c r="E25" s="56">
        <f>E20/E18</f>
        <v>0</v>
      </c>
      <c r="F25" s="54"/>
      <c r="H25" s="44" t="s">
        <v>49</v>
      </c>
      <c r="I25" s="56">
        <f>I20/I18</f>
        <v>0</v>
      </c>
      <c r="J25" s="54"/>
    </row>
    <row r="26" spans="4:10" x14ac:dyDescent="0.3">
      <c r="D26" s="44" t="s">
        <v>50</v>
      </c>
      <c r="E26" s="57" t="s">
        <v>82</v>
      </c>
      <c r="F26" s="54"/>
      <c r="H26" s="44" t="s">
        <v>50</v>
      </c>
      <c r="I26" s="57" t="s">
        <v>82</v>
      </c>
      <c r="J26" s="54"/>
    </row>
    <row r="27" spans="4:10" x14ac:dyDescent="0.3">
      <c r="D27" s="44" t="s">
        <v>83</v>
      </c>
      <c r="E27" s="8">
        <f>E18*(1+E24)</f>
        <v>8.25</v>
      </c>
      <c r="F27" s="54" t="s">
        <v>10</v>
      </c>
      <c r="H27" s="44" t="s">
        <v>83</v>
      </c>
      <c r="I27" s="8">
        <f>I18*(1+I24)</f>
        <v>8.25</v>
      </c>
      <c r="J27" s="54" t="s">
        <v>10</v>
      </c>
    </row>
    <row r="28" spans="4:10" x14ac:dyDescent="0.3">
      <c r="D28" s="44"/>
      <c r="E28" s="8"/>
      <c r="F28" s="54"/>
      <c r="H28" s="44"/>
      <c r="I28" s="8"/>
      <c r="J28" s="54"/>
    </row>
    <row r="29" spans="4:10" x14ac:dyDescent="0.3">
      <c r="D29" s="44" t="s">
        <v>84</v>
      </c>
      <c r="E29" s="8">
        <v>1</v>
      </c>
      <c r="F29" s="54"/>
      <c r="H29" s="44" t="s">
        <v>84</v>
      </c>
      <c r="I29" s="8">
        <v>1</v>
      </c>
      <c r="J29" s="54"/>
    </row>
    <row r="30" spans="4:10" x14ac:dyDescent="0.3">
      <c r="D30" s="44" t="s">
        <v>85</v>
      </c>
      <c r="E30" s="8">
        <v>1</v>
      </c>
      <c r="F30" s="54"/>
      <c r="H30" s="44" t="s">
        <v>85</v>
      </c>
      <c r="I30" s="8">
        <v>1</v>
      </c>
      <c r="J30" s="54"/>
    </row>
    <row r="31" spans="4:10" x14ac:dyDescent="0.3">
      <c r="D31" s="44" t="s">
        <v>86</v>
      </c>
      <c r="E31" s="8">
        <v>1</v>
      </c>
      <c r="F31" s="54"/>
      <c r="H31" s="44" t="s">
        <v>86</v>
      </c>
      <c r="I31" s="8">
        <v>1</v>
      </c>
      <c r="J31" s="54"/>
    </row>
    <row r="32" spans="4:10" x14ac:dyDescent="0.3">
      <c r="D32" s="44" t="s">
        <v>87</v>
      </c>
      <c r="E32" s="8">
        <v>0.65</v>
      </c>
      <c r="F32" s="54"/>
      <c r="H32" s="44" t="s">
        <v>87</v>
      </c>
      <c r="I32" s="8">
        <v>0.65</v>
      </c>
      <c r="J32" s="54"/>
    </row>
    <row r="33" spans="4:10" x14ac:dyDescent="0.3">
      <c r="D33" s="44"/>
      <c r="E33" s="8"/>
      <c r="F33" s="54"/>
      <c r="H33" s="44"/>
      <c r="I33" s="8"/>
      <c r="J33" s="54"/>
    </row>
    <row r="34" spans="4:10" x14ac:dyDescent="0.3">
      <c r="D34" s="44" t="s">
        <v>57</v>
      </c>
      <c r="E34" s="58">
        <f>11.78*E17/E32/E31/E30/E29*(E21/((E27-E20)*100))^0.5</f>
        <v>0.66184144289760649</v>
      </c>
      <c r="F34" s="54" t="s">
        <v>88</v>
      </c>
      <c r="H34" s="44" t="s">
        <v>57</v>
      </c>
      <c r="I34" s="58">
        <f>11.78*I17/I32/I31/I30/I29*(I21/((I27-I20)*100))^0.5</f>
        <v>14.891432465196146</v>
      </c>
      <c r="J34" s="54" t="s">
        <v>88</v>
      </c>
    </row>
    <row r="35" spans="4:10" x14ac:dyDescent="0.3">
      <c r="D35" s="44" t="s">
        <v>57</v>
      </c>
      <c r="E35" s="59">
        <f>E34/25.4^2</f>
        <v>1.0258562882038665E-3</v>
      </c>
      <c r="F35" s="54" t="s">
        <v>59</v>
      </c>
      <c r="H35" s="44" t="s">
        <v>57</v>
      </c>
      <c r="I35" s="59">
        <f>I34/25.4^2</f>
        <v>2.3081766484586999E-2</v>
      </c>
      <c r="J35" s="54" t="s">
        <v>59</v>
      </c>
    </row>
    <row r="36" spans="4:10" x14ac:dyDescent="0.3">
      <c r="D36" s="44"/>
      <c r="E36" s="8"/>
      <c r="F36" s="54"/>
      <c r="H36" s="44"/>
      <c r="I36" s="8"/>
      <c r="J36" s="54"/>
    </row>
    <row r="37" spans="4:10" x14ac:dyDescent="0.3">
      <c r="D37" s="44" t="s">
        <v>89</v>
      </c>
      <c r="E37" s="8">
        <v>0.11</v>
      </c>
      <c r="F37" s="54"/>
      <c r="H37" s="44" t="s">
        <v>89</v>
      </c>
      <c r="I37" s="8">
        <v>0.11</v>
      </c>
      <c r="J37" s="54"/>
    </row>
    <row r="38" spans="4:10" x14ac:dyDescent="0.3">
      <c r="D38" s="44" t="s">
        <v>90</v>
      </c>
      <c r="E38" s="60" t="s">
        <v>91</v>
      </c>
      <c r="F38" s="54"/>
      <c r="H38" s="44" t="s">
        <v>90</v>
      </c>
      <c r="I38" s="60" t="s">
        <v>91</v>
      </c>
      <c r="J38" s="54"/>
    </row>
    <row r="39" spans="4:10" x14ac:dyDescent="0.3">
      <c r="D39" s="44" t="s">
        <v>92</v>
      </c>
      <c r="E39" s="8">
        <f>E37/E35*E17/E14</f>
        <v>113.04140885582386</v>
      </c>
      <c r="F39" s="54"/>
      <c r="H39" s="44" t="s">
        <v>92</v>
      </c>
      <c r="I39" s="8">
        <f>I37/I35*I17/I14</f>
        <v>113.04140885582385</v>
      </c>
      <c r="J39" s="54"/>
    </row>
    <row r="40" spans="4:10" x14ac:dyDescent="0.3">
      <c r="D40" s="44"/>
      <c r="E40" s="8"/>
      <c r="F40" s="54"/>
      <c r="H40" s="44"/>
      <c r="I40" s="8"/>
      <c r="J40" s="54"/>
    </row>
    <row r="41" spans="4:10" x14ac:dyDescent="0.3">
      <c r="D41" s="44" t="s">
        <v>93</v>
      </c>
      <c r="E41" s="56">
        <f>E37/E35-1</f>
        <v>106.2274949862567</v>
      </c>
      <c r="F41" s="54"/>
      <c r="H41" s="44" t="s">
        <v>93</v>
      </c>
      <c r="I41" s="56">
        <f>I37/I35-1</f>
        <v>3.7656664438336307</v>
      </c>
      <c r="J41" s="54"/>
    </row>
    <row r="42" spans="4:10" x14ac:dyDescent="0.3">
      <c r="D42" s="44"/>
      <c r="E42" s="8"/>
      <c r="F42" s="54"/>
      <c r="H42" s="44"/>
      <c r="I42" s="8"/>
      <c r="J42" s="54"/>
    </row>
    <row r="43" spans="4:10" x14ac:dyDescent="0.3">
      <c r="D43" s="44" t="s">
        <v>94</v>
      </c>
      <c r="E43" s="8">
        <f>E17*18800*E21/E22/(E37*25.4^2)^0.5</f>
        <v>3697.0373361952288</v>
      </c>
      <c r="F43" s="54"/>
      <c r="H43" s="44" t="s">
        <v>94</v>
      </c>
      <c r="I43" s="8">
        <f>I17*18800*I21/I22/(I37*25.4^2)^0.5</f>
        <v>83183.340064392658</v>
      </c>
      <c r="J43" s="54"/>
    </row>
    <row r="44" spans="4:10" x14ac:dyDescent="0.3">
      <c r="D44" s="44" t="s">
        <v>84</v>
      </c>
      <c r="E44" s="45">
        <f>(0.9935+2.878/E43^0.5+342.75/E43^1.5)^-1</f>
        <v>0.95936354215294284</v>
      </c>
      <c r="F44" s="54"/>
      <c r="H44" s="44" t="s">
        <v>84</v>
      </c>
      <c r="I44" s="45">
        <f>(0.9935+2.878/I43^0.5+342.75/I43^1.5)^-1</f>
        <v>0.99651920297226482</v>
      </c>
      <c r="J44" s="54"/>
    </row>
    <row r="45" spans="4:10" x14ac:dyDescent="0.3">
      <c r="D45" s="44"/>
      <c r="E45" s="45"/>
      <c r="F45" s="54"/>
      <c r="H45" s="44"/>
      <c r="I45" s="45"/>
      <c r="J45" s="54"/>
    </row>
    <row r="46" spans="4:10" ht="15" thickBot="1" x14ac:dyDescent="0.35">
      <c r="D46" s="61" t="s">
        <v>95</v>
      </c>
      <c r="E46" s="49">
        <f>E35/E44</f>
        <v>1.0693092275548691E-3</v>
      </c>
      <c r="F46" s="62" t="s">
        <v>59</v>
      </c>
      <c r="H46" s="61" t="s">
        <v>95</v>
      </c>
      <c r="I46" s="49">
        <f>I35/I44</f>
        <v>2.3162390063073791E-2</v>
      </c>
      <c r="J46" s="62" t="s">
        <v>59</v>
      </c>
    </row>
    <row r="47" spans="4:10" x14ac:dyDescent="0.3">
      <c r="D47" s="34"/>
      <c r="E47" s="34"/>
      <c r="F47" s="34"/>
    </row>
  </sheetData>
  <mergeCells count="6">
    <mergeCell ref="E5:F5"/>
    <mergeCell ref="I5:J5"/>
    <mergeCell ref="E6:F6"/>
    <mergeCell ref="I6:J6"/>
    <mergeCell ref="M5:N5"/>
    <mergeCell ref="M6:N6"/>
  </mergeCells>
  <dataValidations count="1">
    <dataValidation type="list" allowBlank="1" showInputMessage="1" showErrorMessage="1" sqref="E15 I15" xr:uid="{5A6AF28B-E9E1-48C7-88EF-2810DA8B60D0}">
      <formula1>$B$40:$B$41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F03A-3521-41A1-9BB7-7352510E5B9F}">
  <dimension ref="A1:AA31"/>
  <sheetViews>
    <sheetView topLeftCell="K1" zoomScale="70" zoomScaleNormal="70" workbookViewId="0">
      <selection activeCell="Y26" sqref="Y26"/>
    </sheetView>
  </sheetViews>
  <sheetFormatPr defaultRowHeight="14.4" x14ac:dyDescent="0.3"/>
  <cols>
    <col min="1" max="1" width="23.33203125" customWidth="1"/>
    <col min="2" max="2" width="21.5546875" customWidth="1"/>
    <col min="3" max="3" width="21" customWidth="1"/>
    <col min="4" max="4" width="17.109375" customWidth="1"/>
    <col min="5" max="5" width="23" customWidth="1"/>
    <col min="6" max="6" width="20.33203125" customWidth="1"/>
    <col min="7" max="7" width="20.5546875" customWidth="1"/>
    <col min="9" max="9" width="23.109375" customWidth="1"/>
    <col min="10" max="10" width="22.44140625" customWidth="1"/>
    <col min="11" max="11" width="20.5546875" customWidth="1"/>
    <col min="13" max="13" width="23.33203125" customWidth="1"/>
    <col min="14" max="14" width="22.33203125" customWidth="1"/>
    <col min="15" max="15" width="20.5546875" customWidth="1"/>
    <col min="16" max="16" width="20.88671875" customWidth="1"/>
    <col min="17" max="17" width="21.6640625" customWidth="1"/>
    <col min="18" max="18" width="23.44140625" customWidth="1"/>
    <col min="19" max="19" width="22.77734375" customWidth="1"/>
    <col min="21" max="21" width="24.88671875" customWidth="1"/>
    <col min="22" max="22" width="18.44140625" customWidth="1"/>
    <col min="23" max="23" width="22.5546875" customWidth="1"/>
    <col min="25" max="25" width="24" customWidth="1"/>
    <col min="26" max="26" width="18.6640625" customWidth="1"/>
    <col min="27" max="27" width="19.6640625" customWidth="1"/>
  </cols>
  <sheetData>
    <row r="1" spans="1:27" ht="24.6" customHeight="1" thickBot="1" x14ac:dyDescent="0.35"/>
    <row r="2" spans="1:27" ht="25.2" customHeight="1" thickBot="1" x14ac:dyDescent="0.35">
      <c r="A2" s="1"/>
      <c r="B2" s="2" t="s">
        <v>0</v>
      </c>
      <c r="C2" s="3"/>
      <c r="D2" s="4"/>
      <c r="E2" s="1"/>
      <c r="F2" s="2" t="s">
        <v>1</v>
      </c>
      <c r="G2" s="3"/>
      <c r="I2" s="1"/>
      <c r="J2" s="2" t="s">
        <v>2</v>
      </c>
      <c r="K2" s="3"/>
      <c r="M2" s="1"/>
      <c r="N2" s="2" t="s">
        <v>3</v>
      </c>
      <c r="O2" s="3"/>
      <c r="Q2" s="1"/>
      <c r="R2" s="2" t="s">
        <v>104</v>
      </c>
      <c r="S2" s="3"/>
      <c r="U2" s="1"/>
      <c r="V2" s="2" t="s">
        <v>106</v>
      </c>
      <c r="W2" s="3"/>
      <c r="Y2" s="1"/>
      <c r="Z2" s="2" t="s">
        <v>106</v>
      </c>
      <c r="AA2" s="3"/>
    </row>
    <row r="3" spans="1:27" ht="27.6" customHeight="1" x14ac:dyDescent="0.3">
      <c r="A3" s="5" t="s">
        <v>4</v>
      </c>
      <c r="B3" s="6" t="s">
        <v>5</v>
      </c>
      <c r="C3" s="7" t="s">
        <v>6</v>
      </c>
      <c r="E3" s="5" t="s">
        <v>4</v>
      </c>
      <c r="F3" s="6" t="s">
        <v>5</v>
      </c>
      <c r="G3" s="7" t="s">
        <v>6</v>
      </c>
      <c r="I3" s="5" t="s">
        <v>4</v>
      </c>
      <c r="J3" s="6" t="s">
        <v>5</v>
      </c>
      <c r="K3" s="7" t="s">
        <v>6</v>
      </c>
      <c r="M3" s="5" t="s">
        <v>4</v>
      </c>
      <c r="N3" s="6" t="s">
        <v>5</v>
      </c>
      <c r="O3" s="7" t="s">
        <v>6</v>
      </c>
      <c r="Q3" s="5" t="s">
        <v>4</v>
      </c>
      <c r="R3" s="6" t="s">
        <v>5</v>
      </c>
      <c r="S3" s="7" t="s">
        <v>6</v>
      </c>
      <c r="U3" s="5" t="s">
        <v>4</v>
      </c>
      <c r="V3" s="6" t="s">
        <v>5</v>
      </c>
      <c r="W3" s="7" t="s">
        <v>6</v>
      </c>
      <c r="Y3" s="5" t="s">
        <v>4</v>
      </c>
      <c r="Z3" s="6" t="s">
        <v>5</v>
      </c>
      <c r="AA3" s="7" t="s">
        <v>6</v>
      </c>
    </row>
    <row r="4" spans="1:27" s="4" customFormat="1" ht="25.8" customHeight="1" x14ac:dyDescent="0.3">
      <c r="A4" s="81" t="s">
        <v>7</v>
      </c>
      <c r="B4" s="82">
        <v>53</v>
      </c>
      <c r="C4" s="83" t="s">
        <v>8</v>
      </c>
      <c r="E4" s="81" t="s">
        <v>7</v>
      </c>
      <c r="F4" s="82">
        <v>49.8</v>
      </c>
      <c r="G4" s="83" t="s">
        <v>8</v>
      </c>
      <c r="I4" s="81" t="s">
        <v>7</v>
      </c>
      <c r="J4" s="82">
        <v>49.3</v>
      </c>
      <c r="K4" s="83" t="s">
        <v>8</v>
      </c>
      <c r="M4" s="81" t="s">
        <v>7</v>
      </c>
      <c r="N4" s="82">
        <v>49.3</v>
      </c>
      <c r="O4" s="83" t="s">
        <v>8</v>
      </c>
      <c r="Q4" s="81" t="s">
        <v>7</v>
      </c>
      <c r="R4" s="82">
        <v>81</v>
      </c>
      <c r="S4" s="83" t="s">
        <v>8</v>
      </c>
      <c r="U4" s="81" t="s">
        <v>7</v>
      </c>
      <c r="V4" s="82">
        <v>48</v>
      </c>
      <c r="W4" s="83" t="s">
        <v>8</v>
      </c>
      <c r="Y4" s="81" t="s">
        <v>7</v>
      </c>
      <c r="Z4" s="82">
        <v>48</v>
      </c>
      <c r="AA4" s="83" t="s">
        <v>8</v>
      </c>
    </row>
    <row r="5" spans="1:27" s="4" customFormat="1" ht="22.2" customHeight="1" x14ac:dyDescent="0.3">
      <c r="A5" s="81" t="s">
        <v>9</v>
      </c>
      <c r="B5" s="82">
        <v>60</v>
      </c>
      <c r="C5" s="83" t="s">
        <v>10</v>
      </c>
      <c r="E5" s="81" t="s">
        <v>9</v>
      </c>
      <c r="F5" s="82">
        <v>55</v>
      </c>
      <c r="G5" s="83" t="s">
        <v>10</v>
      </c>
      <c r="I5" s="81" t="s">
        <v>9</v>
      </c>
      <c r="J5" s="82">
        <v>55</v>
      </c>
      <c r="K5" s="83" t="s">
        <v>10</v>
      </c>
      <c r="M5" s="81" t="s">
        <v>9</v>
      </c>
      <c r="N5" s="82">
        <v>55</v>
      </c>
      <c r="O5" s="83" t="s">
        <v>10</v>
      </c>
      <c r="Q5" s="81" t="s">
        <v>9</v>
      </c>
      <c r="R5" s="82">
        <v>99</v>
      </c>
      <c r="S5" s="83" t="s">
        <v>10</v>
      </c>
      <c r="U5" s="81" t="s">
        <v>9</v>
      </c>
      <c r="V5" s="82">
        <v>57</v>
      </c>
      <c r="W5" s="83" t="s">
        <v>10</v>
      </c>
      <c r="Y5" s="81" t="s">
        <v>9</v>
      </c>
      <c r="Z5" s="82">
        <v>82</v>
      </c>
      <c r="AA5" s="83" t="s">
        <v>10</v>
      </c>
    </row>
    <row r="6" spans="1:27" s="4" customFormat="1" ht="22.2" customHeight="1" x14ac:dyDescent="0.3">
      <c r="A6" s="81" t="s">
        <v>11</v>
      </c>
      <c r="B6" s="82">
        <f>(1.21*B5)+1</f>
        <v>73.599999999999994</v>
      </c>
      <c r="C6" s="83" t="s">
        <v>8</v>
      </c>
      <c r="E6" s="81" t="s">
        <v>11</v>
      </c>
      <c r="F6" s="82">
        <f>(1.21*F5)+1</f>
        <v>67.55</v>
      </c>
      <c r="G6" s="83" t="s">
        <v>8</v>
      </c>
      <c r="I6" s="81" t="s">
        <v>11</v>
      </c>
      <c r="J6" s="82">
        <f>(1.21*J5)+1</f>
        <v>67.55</v>
      </c>
      <c r="K6" s="83" t="s">
        <v>8</v>
      </c>
      <c r="M6" s="81" t="s">
        <v>11</v>
      </c>
      <c r="N6" s="82">
        <f>(1.21*N5)+1</f>
        <v>67.55</v>
      </c>
      <c r="O6" s="83" t="s">
        <v>8</v>
      </c>
      <c r="Q6" s="81" t="s">
        <v>11</v>
      </c>
      <c r="R6" s="82">
        <f>(1.21*R5)+1</f>
        <v>120.78999999999999</v>
      </c>
      <c r="S6" s="83" t="s">
        <v>8</v>
      </c>
      <c r="U6" s="81" t="s">
        <v>11</v>
      </c>
      <c r="V6" s="82">
        <f>(1.21*V5)+1</f>
        <v>69.97</v>
      </c>
      <c r="W6" s="83" t="s">
        <v>8</v>
      </c>
      <c r="Y6" s="81" t="s">
        <v>11</v>
      </c>
      <c r="Z6" s="82">
        <f>(1.21*Z5)+1</f>
        <v>100.22</v>
      </c>
      <c r="AA6" s="83" t="s">
        <v>8</v>
      </c>
    </row>
    <row r="7" spans="1:27" s="4" customFormat="1" ht="24" customHeight="1" x14ac:dyDescent="0.3">
      <c r="A7" s="81" t="s">
        <v>12</v>
      </c>
      <c r="B7" s="82">
        <f>40+273</f>
        <v>313</v>
      </c>
      <c r="C7" s="83" t="s">
        <v>13</v>
      </c>
      <c r="E7" s="81" t="s">
        <v>12</v>
      </c>
      <c r="F7" s="82">
        <f>380+273</f>
        <v>653</v>
      </c>
      <c r="G7" s="83" t="s">
        <v>13</v>
      </c>
      <c r="I7" s="81" t="s">
        <v>12</v>
      </c>
      <c r="J7" s="82">
        <f>375+273</f>
        <v>648</v>
      </c>
      <c r="K7" s="83" t="s">
        <v>13</v>
      </c>
      <c r="M7" s="81" t="s">
        <v>12</v>
      </c>
      <c r="N7" s="82">
        <f>375+273</f>
        <v>648</v>
      </c>
      <c r="O7" s="83" t="s">
        <v>13</v>
      </c>
      <c r="Q7" s="81" t="s">
        <v>12</v>
      </c>
      <c r="R7" s="82">
        <f>48+273</f>
        <v>321</v>
      </c>
      <c r="S7" s="83" t="s">
        <v>13</v>
      </c>
      <c r="U7" s="81" t="s">
        <v>12</v>
      </c>
      <c r="V7" s="82">
        <f>48+273</f>
        <v>321</v>
      </c>
      <c r="W7" s="83" t="s">
        <v>13</v>
      </c>
      <c r="Y7" s="81" t="s">
        <v>12</v>
      </c>
      <c r="Z7" s="82">
        <f>48+273</f>
        <v>321</v>
      </c>
      <c r="AA7" s="83" t="s">
        <v>13</v>
      </c>
    </row>
    <row r="8" spans="1:27" s="4" customFormat="1" ht="25.2" customHeight="1" x14ac:dyDescent="0.3">
      <c r="A8" s="81" t="s">
        <v>14</v>
      </c>
      <c r="B8" s="82">
        <f>(B6/B4)*B7</f>
        <v>434.65660377358489</v>
      </c>
      <c r="C8" s="83" t="s">
        <v>13</v>
      </c>
      <c r="E8" s="81" t="s">
        <v>14</v>
      </c>
      <c r="F8" s="82">
        <f>(F6/F4)*F7</f>
        <v>885.74598393574297</v>
      </c>
      <c r="G8" s="83" t="s">
        <v>13</v>
      </c>
      <c r="I8" s="81" t="s">
        <v>14</v>
      </c>
      <c r="J8" s="82">
        <f>(J6/J4)*J7</f>
        <v>887.87829614604459</v>
      </c>
      <c r="K8" s="83" t="s">
        <v>13</v>
      </c>
      <c r="M8" s="81" t="s">
        <v>14</v>
      </c>
      <c r="N8" s="82">
        <f>(N6/N4)*N7</f>
        <v>887.87829614604459</v>
      </c>
      <c r="O8" s="83" t="s">
        <v>13</v>
      </c>
      <c r="Q8" s="81" t="s">
        <v>14</v>
      </c>
      <c r="R8" s="82">
        <f>(R6/R4)*R7</f>
        <v>478.68629629629623</v>
      </c>
      <c r="S8" s="83" t="s">
        <v>13</v>
      </c>
      <c r="U8" s="81" t="s">
        <v>14</v>
      </c>
      <c r="V8" s="82">
        <f>(V6/V4)*V7</f>
        <v>467.924375</v>
      </c>
      <c r="W8" s="83" t="s">
        <v>13</v>
      </c>
      <c r="Y8" s="81" t="s">
        <v>14</v>
      </c>
      <c r="Z8" s="82">
        <f>(Z6/Z4)*Z7</f>
        <v>670.22124999999994</v>
      </c>
      <c r="AA8" s="83" t="s">
        <v>13</v>
      </c>
    </row>
    <row r="9" spans="1:27" s="4" customFormat="1" ht="23.4" customHeight="1" x14ac:dyDescent="0.3">
      <c r="A9" s="81" t="s">
        <v>14</v>
      </c>
      <c r="B9" s="82">
        <f>B8-273</f>
        <v>161.65660377358489</v>
      </c>
      <c r="C9" s="83" t="s">
        <v>15</v>
      </c>
      <c r="E9" s="81" t="s">
        <v>14</v>
      </c>
      <c r="F9" s="82">
        <f>F8-273</f>
        <v>612.74598393574297</v>
      </c>
      <c r="G9" s="83" t="s">
        <v>15</v>
      </c>
      <c r="I9" s="81" t="s">
        <v>14</v>
      </c>
      <c r="J9" s="82">
        <f>J8-273</f>
        <v>614.87829614604459</v>
      </c>
      <c r="K9" s="83" t="s">
        <v>15</v>
      </c>
      <c r="M9" s="81" t="s">
        <v>14</v>
      </c>
      <c r="N9" s="82">
        <f>N8-273</f>
        <v>614.87829614604459</v>
      </c>
      <c r="O9" s="83" t="s">
        <v>15</v>
      </c>
      <c r="Q9" s="81" t="s">
        <v>14</v>
      </c>
      <c r="R9" s="82">
        <f>R8-273</f>
        <v>205.68629629629623</v>
      </c>
      <c r="S9" s="83" t="s">
        <v>15</v>
      </c>
      <c r="U9" s="81" t="s">
        <v>14</v>
      </c>
      <c r="V9" s="82">
        <f>V8-273</f>
        <v>194.924375</v>
      </c>
      <c r="W9" s="83" t="s">
        <v>15</v>
      </c>
      <c r="Y9" s="81" t="s">
        <v>14</v>
      </c>
      <c r="Z9" s="82">
        <f>Z8-273</f>
        <v>397.22124999999994</v>
      </c>
      <c r="AA9" s="83" t="s">
        <v>15</v>
      </c>
    </row>
    <row r="10" spans="1:27" s="4" customFormat="1" ht="23.4" customHeight="1" thickBot="1" x14ac:dyDescent="0.35">
      <c r="A10" s="84" t="s">
        <v>16</v>
      </c>
      <c r="B10" s="85">
        <f>IF(B9&gt;593,673,B9+273)</f>
        <v>434.65660377358489</v>
      </c>
      <c r="C10" s="86" t="s">
        <v>13</v>
      </c>
      <c r="E10" s="84" t="s">
        <v>16</v>
      </c>
      <c r="F10" s="85">
        <f>IF(F9&gt;593,673,F9)</f>
        <v>673</v>
      </c>
      <c r="G10" s="86" t="s">
        <v>13</v>
      </c>
      <c r="I10" s="84" t="s">
        <v>16</v>
      </c>
      <c r="J10" s="85">
        <f>IF(J9&gt;593,673,J9)</f>
        <v>673</v>
      </c>
      <c r="K10" s="86" t="s">
        <v>13</v>
      </c>
      <c r="M10" s="84" t="s">
        <v>16</v>
      </c>
      <c r="N10" s="85">
        <f>IF(N9&gt;593,673,N9)</f>
        <v>673</v>
      </c>
      <c r="O10" s="86" t="s">
        <v>13</v>
      </c>
      <c r="Q10" s="84" t="s">
        <v>16</v>
      </c>
      <c r="R10" s="85">
        <f>IF(R9&gt;593,673,R9+273)</f>
        <v>478.68629629629623</v>
      </c>
      <c r="S10" s="86" t="s">
        <v>13</v>
      </c>
      <c r="U10" s="84" t="s">
        <v>16</v>
      </c>
      <c r="V10" s="85">
        <f>IF(V9&gt;593,673,V9+273)</f>
        <v>467.924375</v>
      </c>
      <c r="W10" s="86" t="s">
        <v>13</v>
      </c>
      <c r="Y10" s="84" t="s">
        <v>16</v>
      </c>
      <c r="Z10" s="85">
        <f>IF(Z9&gt;593,673,Z9+273)</f>
        <v>670.22124999999994</v>
      </c>
      <c r="AA10" s="86" t="s">
        <v>13</v>
      </c>
    </row>
    <row r="11" spans="1:27" ht="23.4" customHeight="1" thickBot="1" x14ac:dyDescent="0.35"/>
    <row r="12" spans="1:27" ht="24.6" customHeight="1" thickBot="1" x14ac:dyDescent="0.35">
      <c r="A12" s="1"/>
      <c r="B12" s="2" t="s">
        <v>17</v>
      </c>
      <c r="C12" s="1"/>
      <c r="E12" s="1"/>
      <c r="F12" s="2" t="s">
        <v>17</v>
      </c>
      <c r="G12" s="1"/>
      <c r="I12" s="1"/>
      <c r="J12" s="2" t="s">
        <v>17</v>
      </c>
      <c r="K12" s="1"/>
      <c r="M12" s="1"/>
      <c r="N12" s="2" t="s">
        <v>17</v>
      </c>
      <c r="O12" s="1"/>
      <c r="Q12" s="1"/>
      <c r="R12" s="2" t="s">
        <v>17</v>
      </c>
      <c r="S12" s="1"/>
      <c r="U12" s="1"/>
      <c r="V12" s="2" t="s">
        <v>17</v>
      </c>
      <c r="W12" s="1"/>
      <c r="Y12" s="1"/>
      <c r="Z12" s="2" t="s">
        <v>17</v>
      </c>
      <c r="AA12" s="1"/>
    </row>
    <row r="13" spans="1:27" ht="23.4" customHeight="1" thickBot="1" x14ac:dyDescent="0.35">
      <c r="A13" s="9" t="s">
        <v>4</v>
      </c>
      <c r="B13" s="10" t="s">
        <v>5</v>
      </c>
      <c r="C13" s="11" t="s">
        <v>6</v>
      </c>
      <c r="D13" s="4"/>
      <c r="E13" s="9" t="s">
        <v>4</v>
      </c>
      <c r="F13" s="10" t="s">
        <v>5</v>
      </c>
      <c r="G13" s="11" t="s">
        <v>6</v>
      </c>
      <c r="I13" s="9" t="s">
        <v>4</v>
      </c>
      <c r="J13" s="10" t="s">
        <v>5</v>
      </c>
      <c r="K13" s="11" t="s">
        <v>6</v>
      </c>
      <c r="M13" s="9" t="s">
        <v>4</v>
      </c>
      <c r="N13" s="10" t="s">
        <v>5</v>
      </c>
      <c r="O13" s="11" t="s">
        <v>6</v>
      </c>
      <c r="Q13" s="9" t="s">
        <v>4</v>
      </c>
      <c r="R13" s="10" t="s">
        <v>5</v>
      </c>
      <c r="S13" s="11" t="s">
        <v>6</v>
      </c>
      <c r="U13" s="9" t="s">
        <v>4</v>
      </c>
      <c r="V13" s="10" t="s">
        <v>5</v>
      </c>
      <c r="W13" s="11" t="s">
        <v>6</v>
      </c>
      <c r="Y13" s="9" t="s">
        <v>4</v>
      </c>
      <c r="Z13" s="10" t="s">
        <v>5</v>
      </c>
      <c r="AA13" s="11" t="s">
        <v>6</v>
      </c>
    </row>
    <row r="14" spans="1:27" s="4" customFormat="1" ht="23.4" customHeight="1" thickBot="1" x14ac:dyDescent="0.35">
      <c r="A14" s="12" t="s">
        <v>18</v>
      </c>
      <c r="B14" s="13">
        <v>1.55</v>
      </c>
      <c r="C14" s="14"/>
      <c r="D14" s="15"/>
      <c r="E14" s="12" t="s">
        <v>18</v>
      </c>
      <c r="F14" s="13">
        <v>4.45</v>
      </c>
      <c r="G14" s="14"/>
      <c r="H14" s="15"/>
      <c r="I14" s="12" t="s">
        <v>18</v>
      </c>
      <c r="J14" s="13">
        <v>4</v>
      </c>
      <c r="K14" s="14"/>
      <c r="L14" s="15"/>
      <c r="M14" s="12" t="s">
        <v>18</v>
      </c>
      <c r="N14" s="13">
        <v>4</v>
      </c>
      <c r="O14" s="14"/>
      <c r="Q14" s="12" t="s">
        <v>18</v>
      </c>
      <c r="R14" s="13">
        <v>4.9000000000000004</v>
      </c>
      <c r="S14" s="14"/>
      <c r="U14" s="12" t="s">
        <v>18</v>
      </c>
      <c r="V14" s="13">
        <v>2.4</v>
      </c>
      <c r="W14" s="14"/>
      <c r="Y14" s="12" t="s">
        <v>18</v>
      </c>
      <c r="Z14" s="13">
        <v>2.4</v>
      </c>
      <c r="AA14" s="14"/>
    </row>
    <row r="15" spans="1:27" s="4" customFormat="1" ht="23.4" customHeight="1" thickBot="1" x14ac:dyDescent="0.35">
      <c r="A15" s="12" t="s">
        <v>19</v>
      </c>
      <c r="B15" s="13">
        <v>2.5499999999999998</v>
      </c>
      <c r="C15" s="14"/>
      <c r="D15" s="15"/>
      <c r="E15" s="12" t="s">
        <v>19</v>
      </c>
      <c r="F15" s="13">
        <v>3.1</v>
      </c>
      <c r="G15" s="14"/>
      <c r="H15" s="15"/>
      <c r="I15" s="12" t="s">
        <v>19</v>
      </c>
      <c r="J15" s="13">
        <v>2.9</v>
      </c>
      <c r="K15" s="14"/>
      <c r="L15" s="15"/>
      <c r="M15" s="12" t="s">
        <v>19</v>
      </c>
      <c r="N15" s="13">
        <v>2.9</v>
      </c>
      <c r="O15" s="14"/>
      <c r="Q15" s="12" t="s">
        <v>19</v>
      </c>
      <c r="R15" s="13">
        <v>4.8</v>
      </c>
      <c r="S15" s="14"/>
      <c r="U15" s="12" t="s">
        <v>19</v>
      </c>
      <c r="V15" s="13">
        <v>6.5</v>
      </c>
      <c r="W15" s="14"/>
      <c r="Y15" s="12" t="s">
        <v>19</v>
      </c>
      <c r="Z15" s="13">
        <v>6.5</v>
      </c>
      <c r="AA15" s="14"/>
    </row>
    <row r="16" spans="1:27" s="4" customFormat="1" ht="22.8" customHeight="1" thickBot="1" x14ac:dyDescent="0.35">
      <c r="A16" s="87" t="s">
        <v>20</v>
      </c>
      <c r="B16" s="88">
        <f>(1.089*B14*B14)+(3.14*B14*B15)</f>
        <v>15.027172500000001</v>
      </c>
      <c r="C16" s="89"/>
      <c r="E16" s="90" t="s">
        <v>20</v>
      </c>
      <c r="F16" s="91">
        <f>(1.089*F14*F14)+(3.14*F14*F15)</f>
        <v>64.881222500000007</v>
      </c>
      <c r="G16" s="92"/>
      <c r="I16" s="90" t="s">
        <v>20</v>
      </c>
      <c r="J16" s="91">
        <f>(1.089*J14*J14)+(3.14*J14*J15)</f>
        <v>53.847999999999999</v>
      </c>
      <c r="K16" s="92"/>
      <c r="M16" s="90" t="s">
        <v>20</v>
      </c>
      <c r="N16" s="91">
        <f>(1.089*N14*N14)+(3.14*N14*N15)</f>
        <v>53.847999999999999</v>
      </c>
      <c r="O16" s="92"/>
      <c r="Q16" s="90" t="s">
        <v>20</v>
      </c>
      <c r="R16" s="91">
        <f>(1.089*R14*R14)+(3.14*R14*R15)</f>
        <v>99.999690000000001</v>
      </c>
      <c r="S16" s="92"/>
      <c r="U16" s="90" t="s">
        <v>20</v>
      </c>
      <c r="V16" s="91">
        <v>64.900000000000006</v>
      </c>
      <c r="W16" s="92"/>
      <c r="Y16" s="90" t="s">
        <v>20</v>
      </c>
      <c r="Z16" s="91">
        <v>64.900000000000006</v>
      </c>
      <c r="AA16" s="92"/>
    </row>
    <row r="17" spans="1:27" s="4" customFormat="1" ht="21" customHeight="1" thickBot="1" x14ac:dyDescent="0.35">
      <c r="A17" s="87" t="s">
        <v>21</v>
      </c>
      <c r="B17" s="88">
        <v>0.2772</v>
      </c>
      <c r="C17" s="89"/>
      <c r="E17" s="81" t="s">
        <v>21</v>
      </c>
      <c r="F17" s="93">
        <v>0.2772</v>
      </c>
      <c r="G17" s="94"/>
      <c r="I17" s="81" t="s">
        <v>21</v>
      </c>
      <c r="J17" s="93">
        <v>0.2772</v>
      </c>
      <c r="K17" s="94"/>
      <c r="M17" s="81" t="s">
        <v>21</v>
      </c>
      <c r="N17" s="93">
        <v>0.2772</v>
      </c>
      <c r="O17" s="94"/>
      <c r="Q17" s="81" t="s">
        <v>21</v>
      </c>
      <c r="R17" s="93">
        <v>0.2772</v>
      </c>
      <c r="S17" s="94"/>
      <c r="U17" s="81" t="s">
        <v>21</v>
      </c>
      <c r="V17" s="93">
        <v>0.2772</v>
      </c>
      <c r="W17" s="94"/>
      <c r="Y17" s="81" t="s">
        <v>21</v>
      </c>
      <c r="Z17" s="93">
        <v>0.2772</v>
      </c>
      <c r="AA17" s="94"/>
    </row>
    <row r="18" spans="1:27" s="4" customFormat="1" ht="22.8" customHeight="1" thickBot="1" x14ac:dyDescent="0.35">
      <c r="A18" s="87" t="s">
        <v>22</v>
      </c>
      <c r="B18" s="88">
        <v>3.95E-2</v>
      </c>
      <c r="C18" s="89"/>
      <c r="E18" s="81" t="s">
        <v>22</v>
      </c>
      <c r="F18" s="93">
        <v>3.95E-2</v>
      </c>
      <c r="G18" s="94"/>
      <c r="I18" s="81" t="s">
        <v>22</v>
      </c>
      <c r="J18" s="93">
        <v>3.95E-2</v>
      </c>
      <c r="K18" s="94"/>
      <c r="M18" s="81" t="s">
        <v>22</v>
      </c>
      <c r="N18" s="93">
        <v>3.95E-2</v>
      </c>
      <c r="O18" s="94"/>
      <c r="Q18" s="81" t="s">
        <v>22</v>
      </c>
      <c r="R18" s="93">
        <v>3.95E-2</v>
      </c>
      <c r="S18" s="94"/>
      <c r="U18" s="81" t="s">
        <v>22</v>
      </c>
      <c r="V18" s="93">
        <v>3.95E-2</v>
      </c>
      <c r="W18" s="94"/>
      <c r="Y18" s="81" t="s">
        <v>22</v>
      </c>
      <c r="Z18" s="93">
        <v>3.95E-2</v>
      </c>
      <c r="AA18" s="94"/>
    </row>
    <row r="19" spans="1:27" s="4" customFormat="1" ht="21" customHeight="1" thickBot="1" x14ac:dyDescent="0.35">
      <c r="A19" s="87" t="s">
        <v>13</v>
      </c>
      <c r="B19" s="88">
        <v>1.26</v>
      </c>
      <c r="C19" s="89"/>
      <c r="E19" s="81" t="s">
        <v>13</v>
      </c>
      <c r="F19" s="93">
        <v>1.18</v>
      </c>
      <c r="G19" s="94"/>
      <c r="I19" s="81" t="s">
        <v>13</v>
      </c>
      <c r="J19" s="93">
        <v>1.18</v>
      </c>
      <c r="K19" s="94"/>
      <c r="M19" s="81" t="s">
        <v>13</v>
      </c>
      <c r="N19" s="93">
        <v>1.18</v>
      </c>
      <c r="O19" s="94"/>
      <c r="Q19" s="81" t="s">
        <v>13</v>
      </c>
      <c r="R19" s="93">
        <v>1.37</v>
      </c>
      <c r="S19" s="94"/>
      <c r="U19" s="81" t="s">
        <v>13</v>
      </c>
      <c r="V19" s="93">
        <v>1.37</v>
      </c>
      <c r="W19" s="94"/>
      <c r="Y19" s="81" t="s">
        <v>13</v>
      </c>
      <c r="Z19" s="93">
        <v>1.37</v>
      </c>
      <c r="AA19" s="94"/>
    </row>
    <row r="20" spans="1:27" s="4" customFormat="1" ht="21.6" customHeight="1" thickBot="1" x14ac:dyDescent="0.35">
      <c r="A20" s="87" t="s">
        <v>15</v>
      </c>
      <c r="B20" s="88">
        <f>B18*((B19*((2/(B19+1))^((B19+1)/(B19-1))))^0.5)</f>
        <v>2.6067254189191747E-2</v>
      </c>
      <c r="C20" s="89"/>
      <c r="E20" s="81" t="s">
        <v>15</v>
      </c>
      <c r="F20" s="93">
        <f>F18*((F19*((2/(F19+1))^((F19+1)/(F19-1))))^0.5)</f>
        <v>2.5462430802069828E-2</v>
      </c>
      <c r="G20" s="94"/>
      <c r="I20" s="81" t="s">
        <v>15</v>
      </c>
      <c r="J20" s="93">
        <f>J18*((J19*((2/(J19+1))^((J19+1)/(J19-1))))^0.5)</f>
        <v>2.5462430802069828E-2</v>
      </c>
      <c r="K20" s="94"/>
      <c r="M20" s="81" t="s">
        <v>15</v>
      </c>
      <c r="N20" s="93">
        <f>N18*((N19*((2/(N19+1))^((N19+1)/(N19-1))))^0.5)</f>
        <v>2.5462430802069828E-2</v>
      </c>
      <c r="O20" s="94"/>
      <c r="Q20" s="81" t="s">
        <v>15</v>
      </c>
      <c r="R20" s="93">
        <f>R18*((R19*((2/(R19+1))^((R19+1)/(R19-1))))^0.5)</f>
        <v>2.6844753430296402E-2</v>
      </c>
      <c r="S20" s="94"/>
      <c r="U20" s="81" t="s">
        <v>15</v>
      </c>
      <c r="V20" s="93">
        <f>V18*((V19*((2/(V19+1))^((V19+1)/(V19-1))))^0.5)</f>
        <v>2.6844753430296402E-2</v>
      </c>
      <c r="W20" s="94"/>
      <c r="Y20" s="81" t="s">
        <v>15</v>
      </c>
      <c r="Z20" s="93">
        <f>Z18*((Z19*((2/(Z19+1))^((Z19+1)/(Z19-1))))^0.5)</f>
        <v>2.6844753430296402E-2</v>
      </c>
      <c r="AA20" s="94"/>
    </row>
    <row r="21" spans="1:27" s="4" customFormat="1" ht="21" customHeight="1" thickBot="1" x14ac:dyDescent="0.35">
      <c r="A21" s="87" t="s">
        <v>23</v>
      </c>
      <c r="B21" s="88">
        <v>0.97499999999999998</v>
      </c>
      <c r="C21" s="89"/>
      <c r="E21" s="81" t="s">
        <v>23</v>
      </c>
      <c r="F21" s="93">
        <v>0.97499999999999998</v>
      </c>
      <c r="G21" s="94"/>
      <c r="I21" s="81" t="s">
        <v>23</v>
      </c>
      <c r="J21" s="93">
        <v>0.97499999999999998</v>
      </c>
      <c r="K21" s="94"/>
      <c r="M21" s="81" t="s">
        <v>23</v>
      </c>
      <c r="N21" s="93">
        <v>0.97499999999999998</v>
      </c>
      <c r="O21" s="94"/>
      <c r="Q21" s="81" t="s">
        <v>23</v>
      </c>
      <c r="R21" s="93">
        <v>0.97499999999999998</v>
      </c>
      <c r="S21" s="94"/>
      <c r="U21" s="81" t="s">
        <v>23</v>
      </c>
      <c r="V21" s="93">
        <v>0.97499999999999998</v>
      </c>
      <c r="W21" s="94"/>
      <c r="Y21" s="81" t="s">
        <v>23</v>
      </c>
      <c r="Z21" s="93">
        <v>0.97499999999999998</v>
      </c>
      <c r="AA21" s="94"/>
    </row>
    <row r="22" spans="1:27" s="4" customFormat="1" ht="21.6" customHeight="1" thickBot="1" x14ac:dyDescent="0.35">
      <c r="A22" s="87" t="s">
        <v>24</v>
      </c>
      <c r="B22" s="88">
        <f>(B17/B20/B21)*(((866-B10)^1.25)/((B10)^0.6506))</f>
        <v>411.94979771285665</v>
      </c>
      <c r="C22" s="89"/>
      <c r="E22" s="81" t="s">
        <v>24</v>
      </c>
      <c r="F22" s="93">
        <f>(F17/F20/F21)*(((866-F10)^1.25)/((F10)^0.6506))</f>
        <v>116.12581739768265</v>
      </c>
      <c r="G22" s="94"/>
      <c r="I22" s="81" t="s">
        <v>24</v>
      </c>
      <c r="J22" s="93">
        <f>(J17/J20/J21)*(((866-J10)^1.25)/((J10)^0.6506))</f>
        <v>116.12581739768265</v>
      </c>
      <c r="K22" s="94"/>
      <c r="M22" s="81" t="s">
        <v>24</v>
      </c>
      <c r="N22" s="93">
        <f>(N17/N20/N21)*(((866-N10)^1.25)/((N10)^0.6506))</f>
        <v>116.12581739768265</v>
      </c>
      <c r="O22" s="94"/>
      <c r="Q22" s="81" t="s">
        <v>24</v>
      </c>
      <c r="R22" s="93">
        <f>(R17/R20/R21)*(((866-R10)^1.25)/((R10)^0.6506))</f>
        <v>328.37235886203513</v>
      </c>
      <c r="S22" s="94"/>
      <c r="U22" s="81" t="s">
        <v>24</v>
      </c>
      <c r="V22" s="93">
        <f>(V17/V20/V21)*(((866-V10)^1.25)/((V10)^0.6506))</f>
        <v>344.88148732004021</v>
      </c>
      <c r="W22" s="94"/>
      <c r="Y22" s="81" t="s">
        <v>24</v>
      </c>
      <c r="Z22" s="93">
        <f>(Z17/Z20/Z21)*(((866-Z10)^1.25)/((Z10)^0.6506))</f>
        <v>112.43423606509428</v>
      </c>
      <c r="AA22" s="94"/>
    </row>
    <row r="23" spans="1:27" s="4" customFormat="1" ht="22.8" customHeight="1" thickBot="1" x14ac:dyDescent="0.35">
      <c r="A23" s="95" t="s">
        <v>25</v>
      </c>
      <c r="B23" s="96">
        <v>16.54</v>
      </c>
      <c r="C23" s="97"/>
      <c r="E23" s="81" t="s">
        <v>25</v>
      </c>
      <c r="F23" s="93">
        <v>16.54</v>
      </c>
      <c r="G23" s="94"/>
      <c r="I23" s="81" t="s">
        <v>25</v>
      </c>
      <c r="J23" s="93">
        <v>16.54</v>
      </c>
      <c r="K23" s="94"/>
      <c r="M23" s="81" t="s">
        <v>25</v>
      </c>
      <c r="N23" s="93">
        <v>16.54</v>
      </c>
      <c r="O23" s="94"/>
      <c r="Q23" s="81" t="s">
        <v>25</v>
      </c>
      <c r="R23" s="93">
        <v>9.3699999999999992</v>
      </c>
      <c r="S23" s="94"/>
      <c r="U23" s="81" t="s">
        <v>25</v>
      </c>
      <c r="V23" s="93">
        <v>11.44</v>
      </c>
      <c r="W23" s="94"/>
      <c r="Y23" s="81" t="s">
        <v>25</v>
      </c>
      <c r="Z23" s="93">
        <v>11.44</v>
      </c>
      <c r="AA23" s="94"/>
    </row>
    <row r="24" spans="1:27" s="4" customFormat="1" ht="23.4" customHeight="1" thickBot="1" x14ac:dyDescent="0.35">
      <c r="A24" s="95" t="s">
        <v>26</v>
      </c>
      <c r="B24" s="17">
        <f>IF(B22&gt;182,0.2772*((B6*100*B23)^0.5)*(B16*(((866.5-B10)^1.25)/((B10)^1.1506))),182*B20*B16*((B6*B23*100/B10)^0.5))</f>
        <v>2636.8407307351549</v>
      </c>
      <c r="C24" s="98"/>
      <c r="E24" s="84" t="s">
        <v>26</v>
      </c>
      <c r="F24" s="18">
        <f>IF(F22&gt;182,0.2772*((F6*100*F23)^0.5)*(F16*(((866.5-F10)^1.25)/((F10)^1.1506))),182*F20*F16*((F6*F23*100/F10)^0.5))</f>
        <v>3874.0317100467428</v>
      </c>
      <c r="G24" s="99"/>
      <c r="I24" s="84" t="s">
        <v>26</v>
      </c>
      <c r="J24" s="18">
        <f>IF(J22&gt;182,0.2772*((J6*100*J23)^0.5)*(J16*(((866.5-J10)^1.25)/((J10)^1.1506))),182*J20*J16*((J6*J23*100/J10)^0.5))</f>
        <v>3215.2424304674128</v>
      </c>
      <c r="K24" s="99"/>
      <c r="M24" s="84" t="s">
        <v>26</v>
      </c>
      <c r="N24" s="18">
        <f>IF(N22&gt;182,0.2772*((N6*100*N23)^0.5)*(N16*(((866.5-N10)^1.25)/((N10)^1.1506))),182*N20*N16*((N6*N23*100/N10)^0.5))</f>
        <v>3215.2424304674128</v>
      </c>
      <c r="O24" s="99"/>
      <c r="Q24" s="84" t="s">
        <v>26</v>
      </c>
      <c r="R24" s="18">
        <f>IF(R22&gt;182,0.2772*((R6*100*R23)^0.5)*(R16*(((866.5-R10)^1.25)/((R10)^1.1506))),182*R20*R16*((R6*R23*100/R10)^0.5))</f>
        <v>13236.995768693787</v>
      </c>
      <c r="S24" s="99"/>
      <c r="U24" s="84" t="s">
        <v>26</v>
      </c>
      <c r="V24" s="18">
        <f>IF(V22&gt;182,0.2772*((V6*100*V23)^0.5)*(V16*(((866.5-V10)^1.25)/((V10)^1.1506))),182*V20*V16*((V6*V23*100/V10)^0.5))</f>
        <v>7674.3423134428103</v>
      </c>
      <c r="W24" s="99"/>
      <c r="Y24" s="84" t="s">
        <v>26</v>
      </c>
      <c r="Z24" s="18">
        <f>IF(Z22&gt;182,0.2772*((Z6*100*Z23)^0.5)*(Z16*(((866.5-Z10)^1.25)/((Z10)^1.1506))),182*Z20*Z16*((Z6*Z23*100/Z10)^0.5))</f>
        <v>4147.2156508919807</v>
      </c>
      <c r="AA24" s="99"/>
    </row>
    <row r="25" spans="1:27" ht="23.4" customHeight="1" thickBot="1" x14ac:dyDescent="0.35"/>
    <row r="26" spans="1:27" ht="19.8" customHeight="1" thickBot="1" x14ac:dyDescent="0.35">
      <c r="Q26" s="16" t="s">
        <v>105</v>
      </c>
      <c r="R26" s="79">
        <f xml:space="preserve"> R24*SQRT((R10*1/R23))/(R20*0.975*1*1*R6*100)</f>
        <v>299.2609950954913</v>
      </c>
      <c r="S26" s="80"/>
    </row>
    <row r="27" spans="1:27" ht="19.8" customHeight="1" x14ac:dyDescent="0.3"/>
    <row r="28" spans="1:27" ht="21.6" customHeight="1" x14ac:dyDescent="0.3">
      <c r="U28" t="s">
        <v>74</v>
      </c>
      <c r="V28">
        <f>V30*(V29^0.82)</f>
        <v>394097.74572032079</v>
      </c>
    </row>
    <row r="29" spans="1:27" x14ac:dyDescent="0.3">
      <c r="U29" t="s">
        <v>98</v>
      </c>
      <c r="V29">
        <v>8.1</v>
      </c>
    </row>
    <row r="30" spans="1:27" x14ac:dyDescent="0.3">
      <c r="U30" t="s">
        <v>15</v>
      </c>
      <c r="V30">
        <v>70900</v>
      </c>
    </row>
    <row r="31" spans="1:27" x14ac:dyDescent="0.3">
      <c r="U31" t="s">
        <v>109</v>
      </c>
      <c r="V31">
        <f>V28/343/1.16</f>
        <v>990.49398240756216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FD1D-5183-4117-86CA-7572023BBEC5}">
  <dimension ref="A1:W32"/>
  <sheetViews>
    <sheetView tabSelected="1" topLeftCell="A19" zoomScale="129" zoomScaleNormal="110" workbookViewId="0">
      <selection activeCell="J31" sqref="J31"/>
    </sheetView>
  </sheetViews>
  <sheetFormatPr defaultRowHeight="14.4" x14ac:dyDescent="0.3"/>
  <cols>
    <col min="1" max="1" width="13.88671875" customWidth="1"/>
    <col min="2" max="2" width="14.5546875" customWidth="1"/>
    <col min="3" max="3" width="12.88671875" customWidth="1"/>
    <col min="5" max="5" width="14.21875" customWidth="1"/>
    <col min="6" max="6" width="14.88671875" customWidth="1"/>
    <col min="7" max="7" width="14.109375" customWidth="1"/>
    <col min="9" max="9" width="14.5546875" customWidth="1"/>
    <col min="10" max="10" width="14.77734375" customWidth="1"/>
    <col min="11" max="11" width="14" customWidth="1"/>
    <col min="13" max="13" width="12.21875" bestFit="1" customWidth="1"/>
    <col min="14" max="14" width="13.44140625" customWidth="1"/>
    <col min="15" max="15" width="12.88671875" customWidth="1"/>
    <col min="17" max="17" width="15" customWidth="1"/>
    <col min="18" max="18" width="13.44140625" customWidth="1"/>
    <col min="19" max="19" width="14.109375" customWidth="1"/>
    <col min="21" max="22" width="13.109375" customWidth="1"/>
    <col min="23" max="23" width="16.5546875" customWidth="1"/>
  </cols>
  <sheetData>
    <row r="1" spans="1:23" ht="22.2" customHeight="1" thickBot="1" x14ac:dyDescent="0.35">
      <c r="B1" s="19" t="s">
        <v>27</v>
      </c>
      <c r="F1" s="19" t="s">
        <v>28</v>
      </c>
      <c r="J1" s="19" t="s">
        <v>29</v>
      </c>
      <c r="N1" s="19" t="s">
        <v>30</v>
      </c>
      <c r="R1" s="19" t="s">
        <v>107</v>
      </c>
      <c r="V1" s="19" t="s">
        <v>107</v>
      </c>
    </row>
    <row r="2" spans="1:23" ht="21" customHeight="1" thickBot="1" x14ac:dyDescent="0.35">
      <c r="A2" s="20" t="s">
        <v>4</v>
      </c>
      <c r="B2" s="21" t="s">
        <v>5</v>
      </c>
      <c r="C2" s="22" t="s">
        <v>6</v>
      </c>
      <c r="E2" s="20" t="s">
        <v>4</v>
      </c>
      <c r="F2" s="23" t="s">
        <v>5</v>
      </c>
      <c r="G2" s="22" t="s">
        <v>6</v>
      </c>
      <c r="I2" s="20" t="s">
        <v>4</v>
      </c>
      <c r="J2" s="23" t="s">
        <v>5</v>
      </c>
      <c r="K2" s="22" t="s">
        <v>6</v>
      </c>
      <c r="M2" s="20" t="s">
        <v>4</v>
      </c>
      <c r="N2" s="21" t="s">
        <v>5</v>
      </c>
      <c r="O2" s="22" t="s">
        <v>6</v>
      </c>
      <c r="Q2" s="20" t="s">
        <v>4</v>
      </c>
      <c r="R2" s="21" t="s">
        <v>5</v>
      </c>
      <c r="S2" s="22" t="s">
        <v>6</v>
      </c>
      <c r="U2" s="20" t="s">
        <v>4</v>
      </c>
      <c r="V2" s="21" t="s">
        <v>5</v>
      </c>
      <c r="W2" s="22" t="s">
        <v>6</v>
      </c>
    </row>
    <row r="3" spans="1:23" ht="19.8" customHeight="1" x14ac:dyDescent="0.3">
      <c r="A3" s="24" t="s">
        <v>18</v>
      </c>
      <c r="B3" s="25">
        <v>22.1</v>
      </c>
      <c r="C3" s="26" t="s">
        <v>31</v>
      </c>
      <c r="E3" s="24" t="s">
        <v>18</v>
      </c>
      <c r="F3" s="27">
        <v>15.75</v>
      </c>
      <c r="G3" s="26" t="s">
        <v>31</v>
      </c>
      <c r="I3" s="24" t="s">
        <v>18</v>
      </c>
      <c r="J3" s="27">
        <v>22.1</v>
      </c>
      <c r="K3" s="26" t="s">
        <v>31</v>
      </c>
      <c r="M3" s="24" t="s">
        <v>18</v>
      </c>
      <c r="N3" s="25">
        <v>27.53</v>
      </c>
      <c r="O3" s="26" t="s">
        <v>31</v>
      </c>
      <c r="Q3" s="24" t="s">
        <v>18</v>
      </c>
      <c r="R3" s="25">
        <v>28.5</v>
      </c>
      <c r="S3" s="26" t="s">
        <v>31</v>
      </c>
      <c r="U3" s="24" t="s">
        <v>18</v>
      </c>
      <c r="V3" s="25">
        <v>14.83</v>
      </c>
      <c r="W3" s="26" t="s">
        <v>31</v>
      </c>
    </row>
    <row r="4" spans="1:23" ht="19.8" customHeight="1" x14ac:dyDescent="0.3">
      <c r="A4" s="28" t="s">
        <v>32</v>
      </c>
      <c r="B4" s="27">
        <v>2.93</v>
      </c>
      <c r="C4" s="29"/>
      <c r="E4" s="28" t="s">
        <v>32</v>
      </c>
      <c r="F4" s="27">
        <v>2.93</v>
      </c>
      <c r="G4" s="29"/>
      <c r="I4" s="28" t="s">
        <v>32</v>
      </c>
      <c r="J4" s="27">
        <v>2.93</v>
      </c>
      <c r="K4" s="29"/>
      <c r="M4" s="30" t="s">
        <v>33</v>
      </c>
      <c r="N4" s="27">
        <v>3.37</v>
      </c>
      <c r="O4" s="29"/>
      <c r="Q4" s="30" t="s">
        <v>33</v>
      </c>
      <c r="R4" s="27">
        <v>20.47</v>
      </c>
      <c r="S4" s="29"/>
      <c r="U4" s="30" t="s">
        <v>33</v>
      </c>
      <c r="V4" s="27">
        <v>3.99</v>
      </c>
      <c r="W4" s="29"/>
    </row>
    <row r="5" spans="1:23" ht="21" customHeight="1" x14ac:dyDescent="0.3">
      <c r="A5" s="28" t="s">
        <v>34</v>
      </c>
      <c r="B5" s="27">
        <v>83.7</v>
      </c>
      <c r="C5" s="29" t="s">
        <v>10</v>
      </c>
      <c r="E5" s="28" t="s">
        <v>34</v>
      </c>
      <c r="F5" s="27">
        <v>24.2</v>
      </c>
      <c r="G5" s="29" t="s">
        <v>10</v>
      </c>
      <c r="I5" s="28" t="s">
        <v>34</v>
      </c>
      <c r="J5" s="27">
        <v>24.5</v>
      </c>
      <c r="K5" s="29" t="s">
        <v>10</v>
      </c>
      <c r="M5" s="30" t="s">
        <v>35</v>
      </c>
      <c r="N5" s="27">
        <v>2.44</v>
      </c>
      <c r="O5" s="29" t="s">
        <v>10</v>
      </c>
      <c r="Q5" s="30" t="s">
        <v>35</v>
      </c>
      <c r="R5" s="27">
        <v>9.5</v>
      </c>
      <c r="S5" s="29" t="s">
        <v>10</v>
      </c>
      <c r="U5" s="30" t="s">
        <v>35</v>
      </c>
      <c r="V5" s="27">
        <v>0.5</v>
      </c>
      <c r="W5" s="29" t="s">
        <v>10</v>
      </c>
    </row>
    <row r="6" spans="1:23" ht="18" customHeight="1" x14ac:dyDescent="0.3">
      <c r="A6" s="28" t="s">
        <v>25</v>
      </c>
      <c r="B6" s="27">
        <v>10.07</v>
      </c>
      <c r="C6" s="29"/>
      <c r="E6" s="28" t="s">
        <v>25</v>
      </c>
      <c r="F6" s="27">
        <v>11.24</v>
      </c>
      <c r="G6" s="29"/>
      <c r="I6" s="28" t="s">
        <v>25</v>
      </c>
      <c r="J6" s="27">
        <v>12.06</v>
      </c>
      <c r="K6" s="29"/>
      <c r="M6" s="28" t="s">
        <v>36</v>
      </c>
      <c r="N6" s="27">
        <f>2.463*((N3)^2)*((N5*N4/10)^0.5)</f>
        <v>1692.7261297176522</v>
      </c>
      <c r="O6" s="29"/>
      <c r="Q6" s="28" t="s">
        <v>36</v>
      </c>
      <c r="R6" s="27">
        <f>2.463*((R3)^2)*((R5*R4/10)^0.5)</f>
        <v>8822.1584945252016</v>
      </c>
      <c r="S6" s="29"/>
      <c r="U6" s="28" t="s">
        <v>36</v>
      </c>
      <c r="V6" s="27">
        <f>2.463*((V3)^2)*((V5*V4/10)^0.5)</f>
        <v>241.94584257805539</v>
      </c>
      <c r="W6" s="29"/>
    </row>
    <row r="7" spans="1:23" ht="19.2" customHeight="1" x14ac:dyDescent="0.3">
      <c r="A7" s="28" t="s">
        <v>37</v>
      </c>
      <c r="B7" s="27">
        <v>1</v>
      </c>
      <c r="C7" s="29"/>
      <c r="E7" s="28" t="s">
        <v>37</v>
      </c>
      <c r="F7" s="27">
        <v>1</v>
      </c>
      <c r="G7" s="29"/>
      <c r="I7" s="28" t="s">
        <v>37</v>
      </c>
      <c r="J7" s="27">
        <v>1</v>
      </c>
      <c r="K7" s="29"/>
    </row>
    <row r="8" spans="1:23" ht="19.2" customHeight="1" thickBot="1" x14ac:dyDescent="0.35">
      <c r="A8" s="28" t="s">
        <v>38</v>
      </c>
      <c r="B8" s="27">
        <f>273+48</f>
        <v>321</v>
      </c>
      <c r="C8" s="29"/>
      <c r="E8" s="28" t="s">
        <v>38</v>
      </c>
      <c r="F8" s="27">
        <v>329</v>
      </c>
      <c r="G8" s="29"/>
      <c r="I8" s="28" t="s">
        <v>38</v>
      </c>
      <c r="J8" s="27">
        <f>273+138</f>
        <v>411</v>
      </c>
      <c r="K8" s="29"/>
    </row>
    <row r="9" spans="1:23" ht="19.8" customHeight="1" thickBot="1" x14ac:dyDescent="0.35">
      <c r="A9" s="28" t="s">
        <v>36</v>
      </c>
      <c r="B9" s="27">
        <f>B4*(B3^2)*(B5+1.013)*SQRT(B6/(B7*B8))</f>
        <v>21471.602017305733</v>
      </c>
      <c r="C9" s="29"/>
      <c r="E9" s="28" t="s">
        <v>36</v>
      </c>
      <c r="F9" s="27">
        <f>F4*(F3^2)*(F5+1.013)*SQRT(F6/(F7*F8))</f>
        <v>3387.1814875063174</v>
      </c>
      <c r="G9" s="29"/>
      <c r="I9" s="28" t="s">
        <v>36</v>
      </c>
      <c r="J9" s="27">
        <f>J4*(J3^2)*(J5+1.013)*SQRT(J6/(J7*J8))</f>
        <v>6254.12330908271</v>
      </c>
      <c r="K9" s="29"/>
      <c r="N9" s="19" t="s">
        <v>39</v>
      </c>
    </row>
    <row r="10" spans="1:23" ht="21.6" customHeight="1" thickBot="1" x14ac:dyDescent="0.35">
      <c r="A10" s="100"/>
      <c r="B10" s="101"/>
      <c r="C10" s="102"/>
      <c r="E10" s="100"/>
      <c r="F10" s="101"/>
      <c r="G10" s="102"/>
      <c r="I10" s="100"/>
      <c r="J10" s="101"/>
      <c r="K10" s="102"/>
      <c r="M10" s="20" t="s">
        <v>4</v>
      </c>
      <c r="N10" s="21" t="s">
        <v>5</v>
      </c>
      <c r="O10" s="22" t="s">
        <v>6</v>
      </c>
    </row>
    <row r="11" spans="1:23" ht="19.8" customHeight="1" thickBot="1" x14ac:dyDescent="0.35">
      <c r="B11" s="33"/>
      <c r="C11" s="34"/>
      <c r="M11" s="24" t="s">
        <v>18</v>
      </c>
      <c r="N11" s="25">
        <v>21.18</v>
      </c>
      <c r="O11" s="26" t="s">
        <v>31</v>
      </c>
    </row>
    <row r="12" spans="1:23" ht="18.600000000000001" customHeight="1" x14ac:dyDescent="0.3">
      <c r="A12" s="35" t="s">
        <v>40</v>
      </c>
      <c r="B12" s="36">
        <v>1.0132000000000001</v>
      </c>
      <c r="C12" s="37"/>
      <c r="E12" s="35" t="s">
        <v>40</v>
      </c>
      <c r="F12" s="36">
        <v>1.0132000000000001</v>
      </c>
      <c r="G12" s="37"/>
      <c r="I12" s="35" t="s">
        <v>40</v>
      </c>
      <c r="J12" s="36">
        <v>1.0132000000000001</v>
      </c>
      <c r="K12" s="37"/>
      <c r="M12" s="30" t="s">
        <v>33</v>
      </c>
      <c r="N12" s="27">
        <v>7.35</v>
      </c>
      <c r="O12" s="29"/>
    </row>
    <row r="13" spans="1:23" ht="18" customHeight="1" x14ac:dyDescent="0.3">
      <c r="A13" s="28" t="s">
        <v>41</v>
      </c>
      <c r="B13" s="27">
        <f>B9</f>
        <v>21471.602017305733</v>
      </c>
      <c r="C13" s="29"/>
      <c r="E13" s="28" t="s">
        <v>41</v>
      </c>
      <c r="F13" s="27">
        <f>F9</f>
        <v>3387.1814875063174</v>
      </c>
      <c r="G13" s="29"/>
      <c r="I13" s="28" t="s">
        <v>41</v>
      </c>
      <c r="J13" s="27">
        <f>J9</f>
        <v>6254.12330908271</v>
      </c>
      <c r="K13" s="29"/>
      <c r="M13" s="30" t="s">
        <v>35</v>
      </c>
      <c r="N13" s="27">
        <v>1.71</v>
      </c>
      <c r="O13" s="29" t="s">
        <v>10</v>
      </c>
    </row>
    <row r="14" spans="1:23" ht="18.600000000000001" customHeight="1" x14ac:dyDescent="0.3">
      <c r="A14" s="28" t="s">
        <v>42</v>
      </c>
      <c r="B14" s="27">
        <v>7.5</v>
      </c>
      <c r="C14" s="29"/>
      <c r="E14" s="28" t="s">
        <v>42</v>
      </c>
      <c r="F14" s="27">
        <v>7.5</v>
      </c>
      <c r="G14" s="29"/>
      <c r="I14" s="28" t="s">
        <v>42</v>
      </c>
      <c r="J14" s="27">
        <v>14</v>
      </c>
      <c r="K14" s="29"/>
      <c r="M14" s="28" t="s">
        <v>36</v>
      </c>
      <c r="N14" s="27">
        <f>2.463*((N11)^2)*((N13*N12/10)^0.5)</f>
        <v>1238.6769273183759</v>
      </c>
      <c r="O14" s="29"/>
    </row>
    <row r="15" spans="1:23" ht="18" customHeight="1" x14ac:dyDescent="0.3">
      <c r="A15" s="28" t="s">
        <v>43</v>
      </c>
      <c r="B15" s="27">
        <v>41.8</v>
      </c>
      <c r="C15" s="29"/>
      <c r="E15" s="28" t="s">
        <v>43</v>
      </c>
      <c r="F15" s="27">
        <v>56.4</v>
      </c>
      <c r="G15" s="29"/>
      <c r="I15" s="28" t="s">
        <v>43</v>
      </c>
      <c r="J15" s="27">
        <v>138</v>
      </c>
      <c r="K15" s="29"/>
    </row>
    <row r="16" spans="1:23" ht="18.600000000000001" customHeight="1" thickBot="1" x14ac:dyDescent="0.35">
      <c r="A16" s="28" t="s">
        <v>44</v>
      </c>
      <c r="B16" s="27">
        <v>4</v>
      </c>
      <c r="C16" s="29"/>
      <c r="E16" s="28" t="s">
        <v>44</v>
      </c>
      <c r="F16" s="27">
        <v>0</v>
      </c>
      <c r="G16" s="29"/>
      <c r="I16" s="28" t="s">
        <v>44</v>
      </c>
      <c r="J16" s="27">
        <v>0</v>
      </c>
      <c r="K16" s="29"/>
    </row>
    <row r="17" spans="1:19" ht="18.600000000000001" customHeight="1" thickBot="1" x14ac:dyDescent="0.35">
      <c r="A17" s="28" t="s">
        <v>45</v>
      </c>
      <c r="B17" s="27">
        <v>10.07</v>
      </c>
      <c r="C17" s="29"/>
      <c r="E17" s="28" t="s">
        <v>45</v>
      </c>
      <c r="F17" s="27">
        <v>11.24</v>
      </c>
      <c r="G17" s="29"/>
      <c r="I17" s="28" t="s">
        <v>45</v>
      </c>
      <c r="J17" s="27">
        <v>10.07</v>
      </c>
      <c r="K17" s="29"/>
      <c r="N17" s="19" t="s">
        <v>46</v>
      </c>
      <c r="R17" s="19" t="s">
        <v>108</v>
      </c>
    </row>
    <row r="18" spans="1:19" ht="18.600000000000001" customHeight="1" thickBot="1" x14ac:dyDescent="0.35">
      <c r="A18" s="28" t="s">
        <v>37</v>
      </c>
      <c r="B18" s="27">
        <v>1</v>
      </c>
      <c r="C18" s="29"/>
      <c r="E18" s="28" t="s">
        <v>37</v>
      </c>
      <c r="F18" s="27">
        <v>1</v>
      </c>
      <c r="G18" s="29"/>
      <c r="I18" s="28" t="s">
        <v>37</v>
      </c>
      <c r="J18" s="27">
        <v>1</v>
      </c>
      <c r="K18" s="29"/>
      <c r="M18" s="20" t="s">
        <v>4</v>
      </c>
      <c r="N18" s="21" t="s">
        <v>5</v>
      </c>
      <c r="O18" s="22" t="s">
        <v>6</v>
      </c>
      <c r="Q18" s="20" t="s">
        <v>4</v>
      </c>
      <c r="R18" s="21" t="s">
        <v>5</v>
      </c>
      <c r="S18" s="22" t="s">
        <v>6</v>
      </c>
    </row>
    <row r="19" spans="1:19" ht="17.399999999999999" customHeight="1" x14ac:dyDescent="0.3">
      <c r="A19" s="28" t="s">
        <v>47</v>
      </c>
      <c r="B19" s="27">
        <v>1.37</v>
      </c>
      <c r="C19" s="29"/>
      <c r="E19" s="28" t="s">
        <v>47</v>
      </c>
      <c r="F19" s="27">
        <v>1.39</v>
      </c>
      <c r="G19" s="29"/>
      <c r="I19" s="28" t="s">
        <v>47</v>
      </c>
      <c r="J19" s="27">
        <v>1.37</v>
      </c>
      <c r="K19" s="29"/>
      <c r="M19" s="24" t="s">
        <v>18</v>
      </c>
      <c r="N19" s="25">
        <v>14.83</v>
      </c>
      <c r="O19" s="26" t="s">
        <v>31</v>
      </c>
      <c r="Q19" s="24" t="s">
        <v>18</v>
      </c>
      <c r="R19" s="25">
        <v>22.1</v>
      </c>
      <c r="S19" s="26" t="s">
        <v>31</v>
      </c>
    </row>
    <row r="20" spans="1:19" ht="17.399999999999999" customHeight="1" x14ac:dyDescent="0.3">
      <c r="A20" s="28" t="s">
        <v>48</v>
      </c>
      <c r="B20" s="27">
        <v>0.1</v>
      </c>
      <c r="C20" s="29"/>
      <c r="E20" s="28" t="s">
        <v>48</v>
      </c>
      <c r="F20" s="27">
        <v>0.1</v>
      </c>
      <c r="G20" s="29"/>
      <c r="I20" s="28" t="s">
        <v>48</v>
      </c>
      <c r="J20" s="27">
        <v>0.1</v>
      </c>
      <c r="K20" s="29"/>
      <c r="M20" s="30" t="s">
        <v>33</v>
      </c>
      <c r="N20" s="27">
        <v>3.99</v>
      </c>
      <c r="O20" s="29"/>
      <c r="Q20" s="30" t="s">
        <v>33</v>
      </c>
      <c r="R20" s="27">
        <v>9.74</v>
      </c>
      <c r="S20" s="29"/>
    </row>
    <row r="21" spans="1:19" ht="17.399999999999999" customHeight="1" x14ac:dyDescent="0.3">
      <c r="A21" s="28" t="s">
        <v>49</v>
      </c>
      <c r="B21" s="27">
        <f>B16/B14</f>
        <v>0.53333333333333333</v>
      </c>
      <c r="C21" s="29"/>
      <c r="E21" s="28" t="s">
        <v>49</v>
      </c>
      <c r="F21" s="27">
        <f>F16/F14</f>
        <v>0</v>
      </c>
      <c r="G21" s="29"/>
      <c r="I21" s="28" t="s">
        <v>49</v>
      </c>
      <c r="J21" s="27">
        <f>J16/J14</f>
        <v>0</v>
      </c>
      <c r="K21" s="29"/>
      <c r="M21" s="30" t="s">
        <v>35</v>
      </c>
      <c r="N21" s="27">
        <v>0.5</v>
      </c>
      <c r="O21" s="29" t="s">
        <v>10</v>
      </c>
      <c r="Q21" s="30" t="s">
        <v>35</v>
      </c>
      <c r="R21" s="27">
        <v>18.84</v>
      </c>
      <c r="S21" s="29" t="s">
        <v>10</v>
      </c>
    </row>
    <row r="22" spans="1:19" ht="16.2" customHeight="1" x14ac:dyDescent="0.3">
      <c r="A22" s="28" t="s">
        <v>50</v>
      </c>
      <c r="B22" s="27"/>
      <c r="C22" s="29"/>
      <c r="E22" s="28" t="s">
        <v>50</v>
      </c>
      <c r="F22" s="27"/>
      <c r="G22" s="29"/>
      <c r="I22" s="28" t="s">
        <v>50</v>
      </c>
      <c r="J22" s="27"/>
      <c r="K22" s="29"/>
      <c r="M22" s="28" t="s">
        <v>36</v>
      </c>
      <c r="N22" s="27">
        <f>2.463*((N19)^2)*((N21*N20/10)^0.5)</f>
        <v>241.94584257805539</v>
      </c>
      <c r="O22" s="29"/>
      <c r="Q22" s="28" t="s">
        <v>36</v>
      </c>
      <c r="R22" s="27">
        <f>2.463*((R19)^2)*((R21*R20/10)^0.5)</f>
        <v>5153.1037554726054</v>
      </c>
      <c r="S22" s="29"/>
    </row>
    <row r="23" spans="1:19" ht="17.399999999999999" customHeight="1" x14ac:dyDescent="0.3">
      <c r="A23" s="28" t="s">
        <v>51</v>
      </c>
      <c r="B23" s="27">
        <f>B14*(1+B20)+B12</f>
        <v>9.2631999999999994</v>
      </c>
      <c r="C23" s="29" t="s">
        <v>8</v>
      </c>
      <c r="E23" s="28" t="s">
        <v>51</v>
      </c>
      <c r="F23" s="27">
        <f>F14*(1+F20)+F12</f>
        <v>9.2631999999999994</v>
      </c>
      <c r="G23" s="29" t="s">
        <v>8</v>
      </c>
      <c r="I23" s="28" t="s">
        <v>51</v>
      </c>
      <c r="J23" s="27">
        <f>J14*(1+J20)+J12</f>
        <v>16.413200000000003</v>
      </c>
      <c r="K23" s="29" t="s">
        <v>8</v>
      </c>
    </row>
    <row r="24" spans="1:19" ht="16.8" customHeight="1" x14ac:dyDescent="0.3">
      <c r="A24" s="28" t="s">
        <v>52</v>
      </c>
      <c r="B24" s="27">
        <f>(2/(B19+1))^(B19/(B19-1))</f>
        <v>0.53338753832474939</v>
      </c>
      <c r="C24" s="29"/>
      <c r="E24" s="28" t="s">
        <v>52</v>
      </c>
      <c r="F24" s="27">
        <f>(2/(F19+1))^(F19/(F19-1))</f>
        <v>0.52997190879706391</v>
      </c>
      <c r="G24" s="29"/>
      <c r="I24" s="28" t="s">
        <v>52</v>
      </c>
      <c r="J24" s="27">
        <f>(2/(J19+1))^(J19/(J19-1))</f>
        <v>0.53338753832474939</v>
      </c>
      <c r="K24" s="29"/>
    </row>
    <row r="25" spans="1:19" ht="16.8" customHeight="1" x14ac:dyDescent="0.3">
      <c r="A25" s="28" t="s">
        <v>53</v>
      </c>
      <c r="B25" s="27">
        <f>B23*B24</f>
        <v>4.9408754450098185</v>
      </c>
      <c r="C25" s="29" t="s">
        <v>8</v>
      </c>
      <c r="E25" s="28" t="s">
        <v>53</v>
      </c>
      <c r="F25" s="27">
        <f>F23*F24</f>
        <v>4.9092357855689617</v>
      </c>
      <c r="G25" s="29" t="s">
        <v>8</v>
      </c>
      <c r="I25" s="28" t="s">
        <v>53</v>
      </c>
      <c r="J25" s="27">
        <f>J23*J24</f>
        <v>8.7545963440317784</v>
      </c>
      <c r="K25" s="29" t="s">
        <v>8</v>
      </c>
    </row>
    <row r="26" spans="1:19" ht="17.399999999999999" customHeight="1" x14ac:dyDescent="0.3">
      <c r="A26" s="28" t="s">
        <v>15</v>
      </c>
      <c r="B26" s="27">
        <f>0.03948*SQRT((B19)*((2/(B19+1))^((B19+1)/(B19-1))))</f>
        <v>2.6831161150078529E-2</v>
      </c>
      <c r="C26" s="29"/>
      <c r="E26" s="28" t="s">
        <v>15</v>
      </c>
      <c r="F26" s="27">
        <f>0.03948*SQRT((F19)*((2/(F19+1))^((F19+1)/(F19-1))))</f>
        <v>2.6966299095212334E-2</v>
      </c>
      <c r="G26" s="29"/>
      <c r="I26" s="28" t="s">
        <v>15</v>
      </c>
      <c r="J26" s="27">
        <f>0.03948*SQRT((J19)*((2/(J19+1))^((J19+1)/(J19-1))))</f>
        <v>2.6831161150078529E-2</v>
      </c>
      <c r="K26" s="29"/>
    </row>
    <row r="27" spans="1:19" ht="16.8" customHeight="1" x14ac:dyDescent="0.3">
      <c r="A27" s="28" t="s">
        <v>54</v>
      </c>
      <c r="B27" s="27">
        <v>1</v>
      </c>
      <c r="C27" s="29"/>
      <c r="E27" s="28" t="s">
        <v>54</v>
      </c>
      <c r="F27" s="27">
        <v>1</v>
      </c>
      <c r="G27" s="29"/>
      <c r="I27" s="28" t="s">
        <v>54</v>
      </c>
      <c r="J27" s="27">
        <v>1</v>
      </c>
      <c r="K27" s="29"/>
    </row>
    <row r="28" spans="1:19" ht="18.600000000000001" customHeight="1" x14ac:dyDescent="0.3">
      <c r="A28" s="28" t="s">
        <v>55</v>
      </c>
      <c r="B28" s="27">
        <v>1</v>
      </c>
      <c r="C28" s="29"/>
      <c r="E28" s="28" t="s">
        <v>55</v>
      </c>
      <c r="F28" s="27">
        <v>1</v>
      </c>
      <c r="G28" s="29"/>
      <c r="I28" s="28" t="s">
        <v>55</v>
      </c>
      <c r="J28" s="27">
        <v>1</v>
      </c>
      <c r="K28" s="29"/>
    </row>
    <row r="29" spans="1:19" ht="16.2" customHeight="1" x14ac:dyDescent="0.3">
      <c r="A29" s="28" t="s">
        <v>56</v>
      </c>
      <c r="B29" s="27">
        <v>0.97499999999999998</v>
      </c>
      <c r="C29" s="29"/>
      <c r="E29" s="28" t="s">
        <v>56</v>
      </c>
      <c r="F29" s="27">
        <v>0.97499999999999998</v>
      </c>
      <c r="G29" s="29"/>
      <c r="I29" s="28" t="s">
        <v>56</v>
      </c>
      <c r="J29" s="27">
        <v>0.97499999999999998</v>
      </c>
      <c r="K29" s="29"/>
    </row>
    <row r="30" spans="1:19" ht="18.600000000000001" customHeight="1" x14ac:dyDescent="0.3">
      <c r="A30" s="28" t="s">
        <v>57</v>
      </c>
      <c r="B30" s="27">
        <f>0.01*(B13/(B26*B27*B28*B29*(B23*100)))*SQRT((B15+273)*B18/B17)</f>
        <v>49.540678584079878</v>
      </c>
      <c r="C30" s="29" t="s">
        <v>58</v>
      </c>
      <c r="E30" s="28" t="s">
        <v>57</v>
      </c>
      <c r="F30" s="27">
        <f>0.01*(F13/(F26*F27*F28*F29*(F23*100)))*SQRT((F15+273)*F18/F17)</f>
        <v>7.5288753182792076</v>
      </c>
      <c r="G30" s="29" t="s">
        <v>58</v>
      </c>
      <c r="I30" s="28" t="s">
        <v>57</v>
      </c>
      <c r="J30" s="27">
        <f>0.01*(J13/(J26*J27*J28*J29*(J23*100)))*SQRT((J15+273)*J18/J17)</f>
        <v>9.305404801870699</v>
      </c>
      <c r="K30" s="29" t="s">
        <v>58</v>
      </c>
    </row>
    <row r="31" spans="1:19" ht="16.8" customHeight="1" x14ac:dyDescent="0.3">
      <c r="A31" s="28" t="s">
        <v>57</v>
      </c>
      <c r="B31" s="27">
        <f>(B13/(B26*B27*B28*B29*(B23*100)))*SQRT((B15+273)*B18/B17)/(25.4^2)</f>
        <v>7.6788205381734578</v>
      </c>
      <c r="C31" s="29" t="s">
        <v>59</v>
      </c>
      <c r="E31" s="28" t="s">
        <v>57</v>
      </c>
      <c r="F31" s="27">
        <f>(F13/(F26*F27*F28*F29*(F23*100)))*SQRT((F15+273)*F18/F17)/(25.4^2)</f>
        <v>1.1669780082892938</v>
      </c>
      <c r="G31" s="29" t="s">
        <v>59</v>
      </c>
      <c r="I31" s="28" t="s">
        <v>57</v>
      </c>
      <c r="J31" s="27">
        <f>(J13/(J26*J27*J28*J29*(J23*100)))*SQRT((J15+273)*J18/J17)/(25.4^2)</f>
        <v>1.4423406289712164</v>
      </c>
      <c r="K31" s="29" t="s">
        <v>59</v>
      </c>
    </row>
    <row r="32" spans="1:19" ht="17.399999999999999" customHeight="1" thickBot="1" x14ac:dyDescent="0.35">
      <c r="A32" s="31"/>
      <c r="B32" s="32" t="str">
        <f>IF(B16&lt;=B25,"critical flow","subcriticalflow")</f>
        <v>critical flow</v>
      </c>
      <c r="C32" s="38"/>
      <c r="E32" s="31"/>
      <c r="F32" s="32" t="str">
        <f>IF(F16&lt;=F25,"critical flow","subcriticalflow")</f>
        <v>critical flow</v>
      </c>
      <c r="G32" s="38"/>
      <c r="I32" s="31"/>
      <c r="J32" s="32" t="str">
        <f>IF(J16&lt;=J25,"critical flow","subcriticalflow")</f>
        <v>critical flow</v>
      </c>
      <c r="K32" s="3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C970-CFF9-4C35-A271-78FCC6079D8B}">
  <dimension ref="D1:N21"/>
  <sheetViews>
    <sheetView topLeftCell="E1" workbookViewId="0">
      <selection activeCell="I21" sqref="I21"/>
    </sheetView>
  </sheetViews>
  <sheetFormatPr defaultRowHeight="14.4" x14ac:dyDescent="0.3"/>
  <cols>
    <col min="3" max="3" width="15.88671875" customWidth="1"/>
    <col min="4" max="4" width="21.33203125" customWidth="1"/>
    <col min="5" max="5" width="18.21875" customWidth="1"/>
    <col min="6" max="6" width="17.5546875" customWidth="1"/>
    <col min="7" max="7" width="18.33203125" customWidth="1"/>
    <col min="8" max="8" width="17.88671875" customWidth="1"/>
    <col min="9" max="9" width="20.44140625" customWidth="1"/>
    <col min="10" max="10" width="18.88671875" customWidth="1"/>
    <col min="11" max="11" width="16.109375" customWidth="1"/>
    <col min="12" max="12" width="18.21875" customWidth="1"/>
    <col min="13" max="13" width="21" customWidth="1"/>
    <col min="14" max="14" width="24.44140625" customWidth="1"/>
  </cols>
  <sheetData>
    <row r="1" spans="4:14" ht="13.8" customHeight="1" thickBot="1" x14ac:dyDescent="0.35"/>
    <row r="2" spans="4:14" ht="22.8" customHeight="1" x14ac:dyDescent="0.3">
      <c r="D2" s="39" t="s">
        <v>60</v>
      </c>
      <c r="E2" s="107" t="s">
        <v>99</v>
      </c>
      <c r="F2" s="108"/>
      <c r="H2" s="39" t="s">
        <v>60</v>
      </c>
      <c r="I2" s="107" t="s">
        <v>103</v>
      </c>
      <c r="J2" s="108"/>
      <c r="L2" s="39" t="s">
        <v>60</v>
      </c>
      <c r="M2" s="107" t="s">
        <v>102</v>
      </c>
      <c r="N2" s="108"/>
    </row>
    <row r="3" spans="4:14" ht="23.4" customHeight="1" thickBot="1" x14ac:dyDescent="0.35">
      <c r="D3" s="40" t="s">
        <v>63</v>
      </c>
      <c r="E3" s="109" t="s">
        <v>100</v>
      </c>
      <c r="F3" s="110"/>
      <c r="H3" s="40" t="s">
        <v>63</v>
      </c>
      <c r="I3" s="109" t="s">
        <v>100</v>
      </c>
      <c r="J3" s="110"/>
      <c r="L3" s="40" t="s">
        <v>63</v>
      </c>
      <c r="M3" s="109" t="s">
        <v>100</v>
      </c>
      <c r="N3" s="110"/>
    </row>
    <row r="4" spans="4:14" ht="21" customHeight="1" x14ac:dyDescent="0.3">
      <c r="D4" s="69" t="s">
        <v>65</v>
      </c>
      <c r="E4" s="70" t="s">
        <v>5</v>
      </c>
      <c r="F4" s="71" t="s">
        <v>6</v>
      </c>
      <c r="H4" s="69" t="s">
        <v>65</v>
      </c>
      <c r="I4" s="70" t="s">
        <v>5</v>
      </c>
      <c r="J4" s="71" t="s">
        <v>6</v>
      </c>
      <c r="L4" s="69" t="s">
        <v>65</v>
      </c>
      <c r="M4" s="70" t="s">
        <v>5</v>
      </c>
      <c r="N4" s="71" t="s">
        <v>6</v>
      </c>
    </row>
    <row r="5" spans="4:14" ht="24" customHeight="1" x14ac:dyDescent="0.3">
      <c r="D5" s="68" t="s">
        <v>40</v>
      </c>
      <c r="E5" s="66">
        <v>1.0132000000000001</v>
      </c>
      <c r="F5" s="63"/>
      <c r="H5" s="68" t="s">
        <v>40</v>
      </c>
      <c r="I5" s="66">
        <v>1.0132000000000001</v>
      </c>
      <c r="J5" s="63"/>
      <c r="L5" s="68" t="s">
        <v>40</v>
      </c>
      <c r="M5" s="66">
        <v>1.0132000000000001</v>
      </c>
      <c r="N5" s="63"/>
    </row>
    <row r="6" spans="4:14" ht="23.4" customHeight="1" x14ac:dyDescent="0.3">
      <c r="D6" s="68" t="s">
        <v>41</v>
      </c>
      <c r="E6" s="66">
        <v>27180</v>
      </c>
      <c r="F6" s="63"/>
      <c r="H6" s="68" t="s">
        <v>41</v>
      </c>
      <c r="I6" s="66">
        <v>48000</v>
      </c>
      <c r="J6" s="63"/>
      <c r="L6" s="68" t="s">
        <v>41</v>
      </c>
      <c r="M6" s="66">
        <v>276000</v>
      </c>
      <c r="N6" s="63"/>
    </row>
    <row r="7" spans="4:14" ht="22.8" customHeight="1" x14ac:dyDescent="0.3">
      <c r="D7" s="68" t="s">
        <v>42</v>
      </c>
      <c r="E7" s="66">
        <v>9.5</v>
      </c>
      <c r="F7" s="63"/>
      <c r="H7" s="68" t="s">
        <v>42</v>
      </c>
      <c r="I7" s="66">
        <v>9.5</v>
      </c>
      <c r="J7" s="63"/>
      <c r="L7" s="68" t="s">
        <v>42</v>
      </c>
      <c r="M7" s="66">
        <v>45</v>
      </c>
      <c r="N7" s="63"/>
    </row>
    <row r="8" spans="4:14" ht="22.8" customHeight="1" thickBot="1" x14ac:dyDescent="0.35">
      <c r="D8" s="68" t="s">
        <v>43</v>
      </c>
      <c r="E8" s="66">
        <v>467</v>
      </c>
      <c r="F8" s="63"/>
      <c r="H8" s="72" t="s">
        <v>43</v>
      </c>
      <c r="I8" s="73">
        <v>467</v>
      </c>
      <c r="J8" s="74"/>
      <c r="L8" s="72" t="s">
        <v>43</v>
      </c>
      <c r="M8" s="73">
        <f>262+273</f>
        <v>535</v>
      </c>
      <c r="N8" s="74"/>
    </row>
    <row r="9" spans="4:14" ht="22.8" customHeight="1" x14ac:dyDescent="0.3">
      <c r="D9" s="68" t="s">
        <v>45</v>
      </c>
      <c r="E9" s="66">
        <v>18</v>
      </c>
      <c r="F9" s="63"/>
      <c r="H9" s="39" t="s">
        <v>45</v>
      </c>
      <c r="I9" s="75">
        <v>18</v>
      </c>
      <c r="J9" s="76"/>
      <c r="L9" s="39" t="s">
        <v>45</v>
      </c>
      <c r="M9" s="75">
        <v>18</v>
      </c>
      <c r="N9" s="76"/>
    </row>
    <row r="10" spans="4:14" ht="24" customHeight="1" thickBot="1" x14ac:dyDescent="0.35">
      <c r="D10" s="72" t="s">
        <v>37</v>
      </c>
      <c r="E10" s="73">
        <v>0.93</v>
      </c>
      <c r="F10" s="74"/>
      <c r="H10" s="68" t="s">
        <v>37</v>
      </c>
      <c r="I10" s="66">
        <v>0.93</v>
      </c>
      <c r="J10" s="63"/>
      <c r="L10" s="68" t="s">
        <v>37</v>
      </c>
      <c r="M10" s="66">
        <v>0.93</v>
      </c>
      <c r="N10" s="63"/>
    </row>
    <row r="11" spans="4:14" ht="22.2" customHeight="1" x14ac:dyDescent="0.3">
      <c r="D11" s="39" t="s">
        <v>47</v>
      </c>
      <c r="E11" s="75">
        <v>1.21</v>
      </c>
      <c r="F11" s="76"/>
      <c r="H11" s="68" t="s">
        <v>47</v>
      </c>
      <c r="I11" s="66">
        <v>1.21</v>
      </c>
      <c r="J11" s="63"/>
      <c r="L11" s="68" t="s">
        <v>47</v>
      </c>
      <c r="M11" s="66">
        <v>1.21</v>
      </c>
      <c r="N11" s="63"/>
    </row>
    <row r="12" spans="4:14" ht="24" customHeight="1" x14ac:dyDescent="0.3">
      <c r="D12" s="68" t="s">
        <v>48</v>
      </c>
      <c r="E12" s="66">
        <v>0.1</v>
      </c>
      <c r="F12" s="63"/>
      <c r="H12" s="68" t="s">
        <v>48</v>
      </c>
      <c r="I12" s="66">
        <v>0.1</v>
      </c>
      <c r="J12" s="63"/>
      <c r="L12" s="68" t="s">
        <v>48</v>
      </c>
      <c r="M12" s="66">
        <v>0.03</v>
      </c>
      <c r="N12" s="63"/>
    </row>
    <row r="13" spans="4:14" ht="24" customHeight="1" x14ac:dyDescent="0.3">
      <c r="D13" s="68" t="s">
        <v>51</v>
      </c>
      <c r="E13" s="66">
        <f>E7*(1+E12)+E5</f>
        <v>11.463200000000001</v>
      </c>
      <c r="F13" s="64" t="s">
        <v>8</v>
      </c>
      <c r="H13" s="68" t="s">
        <v>51</v>
      </c>
      <c r="I13" s="66">
        <f>I7*(1+I12)+I5</f>
        <v>11.463200000000001</v>
      </c>
      <c r="J13" s="64" t="s">
        <v>8</v>
      </c>
      <c r="L13" s="68" t="s">
        <v>51</v>
      </c>
      <c r="M13" s="66">
        <f>M7*(1+M12)+M5</f>
        <v>47.363199999999999</v>
      </c>
      <c r="N13" s="64" t="s">
        <v>8</v>
      </c>
    </row>
    <row r="14" spans="4:14" ht="21.6" customHeight="1" x14ac:dyDescent="0.3">
      <c r="D14" s="68" t="s">
        <v>15</v>
      </c>
      <c r="E14" s="66">
        <f>0.03948*SQRT((E11)*((2/(E11+1))^((E11+1)/(E11-1))))</f>
        <v>2.5680392188384114E-2</v>
      </c>
      <c r="F14" s="63"/>
      <c r="H14" s="68" t="s">
        <v>15</v>
      </c>
      <c r="I14" s="66">
        <f>0.03948*SQRT((I11)*((2/(I11+1))^((I11+1)/(I11-1))))</f>
        <v>2.5680392188384114E-2</v>
      </c>
      <c r="J14" s="63"/>
      <c r="L14" s="68" t="s">
        <v>15</v>
      </c>
      <c r="M14" s="66">
        <f>0.03948*SQRT((M11)*((2/(M11+1))^((M11+1)/(M11-1))))</f>
        <v>2.5680392188384114E-2</v>
      </c>
      <c r="N14" s="63"/>
    </row>
    <row r="15" spans="4:14" ht="21.6" customHeight="1" x14ac:dyDescent="0.3">
      <c r="D15" s="68" t="s">
        <v>54</v>
      </c>
      <c r="E15" s="66">
        <v>1</v>
      </c>
      <c r="F15" s="63"/>
      <c r="H15" s="68" t="s">
        <v>54</v>
      </c>
      <c r="I15" s="66">
        <v>1</v>
      </c>
      <c r="J15" s="63"/>
      <c r="L15" s="68" t="s">
        <v>54</v>
      </c>
      <c r="M15" s="66">
        <v>1</v>
      </c>
      <c r="N15" s="63"/>
    </row>
    <row r="16" spans="4:14" ht="20.399999999999999" customHeight="1" x14ac:dyDescent="0.3">
      <c r="D16" s="68" t="s">
        <v>55</v>
      </c>
      <c r="E16" s="66">
        <v>1</v>
      </c>
      <c r="F16" s="63"/>
      <c r="H16" s="68" t="s">
        <v>55</v>
      </c>
      <c r="I16" s="66">
        <v>1</v>
      </c>
      <c r="J16" s="63"/>
      <c r="L16" s="68" t="s">
        <v>55</v>
      </c>
      <c r="M16" s="66">
        <v>1</v>
      </c>
      <c r="N16" s="63"/>
    </row>
    <row r="17" spans="4:14" ht="21.6" customHeight="1" x14ac:dyDescent="0.3">
      <c r="D17" s="68" t="s">
        <v>56</v>
      </c>
      <c r="E17" s="66">
        <v>0.97499999999999998</v>
      </c>
      <c r="F17" s="63"/>
      <c r="H17" s="68" t="s">
        <v>56</v>
      </c>
      <c r="I17" s="66">
        <v>0.97499999999999998</v>
      </c>
      <c r="J17" s="63"/>
      <c r="L17" s="68" t="s">
        <v>56</v>
      </c>
      <c r="M17" s="66">
        <v>0.97499999999999998</v>
      </c>
      <c r="N17" s="63"/>
    </row>
    <row r="18" spans="4:14" ht="21" customHeight="1" x14ac:dyDescent="0.3">
      <c r="D18" s="68" t="s">
        <v>97</v>
      </c>
      <c r="E18" s="66">
        <v>1</v>
      </c>
      <c r="F18" s="63"/>
      <c r="H18" s="68" t="s">
        <v>97</v>
      </c>
      <c r="I18" s="66">
        <f>(0.1906*(I13*14.7)-1000)/(0.2292*(I13*14.7)-1061)</f>
        <v>0.94669724353160556</v>
      </c>
      <c r="J18" s="63"/>
      <c r="L18" s="68" t="s">
        <v>97</v>
      </c>
      <c r="M18" s="66">
        <f>(0.1906*(M13*14.7)-1000)/(0.2292*(M13*14.7)-1061)</f>
        <v>0.96214295568501318</v>
      </c>
      <c r="N18" s="63"/>
    </row>
    <row r="19" spans="4:14" ht="21.6" customHeight="1" x14ac:dyDescent="0.3">
      <c r="D19" s="68" t="s">
        <v>96</v>
      </c>
      <c r="E19" s="66">
        <v>1</v>
      </c>
      <c r="F19" s="63"/>
      <c r="H19" s="68" t="s">
        <v>96</v>
      </c>
      <c r="I19" s="66">
        <v>1</v>
      </c>
      <c r="J19" s="63"/>
      <c r="L19" s="68" t="s">
        <v>96</v>
      </c>
      <c r="M19" s="66">
        <v>1</v>
      </c>
      <c r="N19" s="63"/>
    </row>
    <row r="20" spans="4:14" ht="21.6" customHeight="1" x14ac:dyDescent="0.3">
      <c r="D20" s="68" t="s">
        <v>98</v>
      </c>
      <c r="E20" s="66">
        <f>(190.5 *E6)/((E13*100)*E17*E15*E16*E18*E19)</f>
        <v>4632.697541832862</v>
      </c>
      <c r="F20" s="64" t="s">
        <v>88</v>
      </c>
      <c r="H20" s="68" t="s">
        <v>98</v>
      </c>
      <c r="I20" s="66">
        <f>(190.5 *I6)/((I13*100)*I17*I15*I16*I18*I19)</f>
        <v>8642.0071128204127</v>
      </c>
      <c r="J20" s="64" t="s">
        <v>88</v>
      </c>
      <c r="L20" s="68" t="s">
        <v>98</v>
      </c>
      <c r="M20" s="66">
        <f>(190.5 *M6)/((M13*100)*M17*M15*M16*M18*M19)</f>
        <v>11833.652309624764</v>
      </c>
      <c r="N20" s="64" t="s">
        <v>88</v>
      </c>
    </row>
    <row r="21" spans="4:14" ht="21" customHeight="1" thickBot="1" x14ac:dyDescent="0.35">
      <c r="D21" s="77" t="s">
        <v>98</v>
      </c>
      <c r="E21" s="67">
        <f>E20/(25.4^2)</f>
        <v>7.1806955512320387</v>
      </c>
      <c r="F21" s="65" t="s">
        <v>101</v>
      </c>
      <c r="H21" s="78" t="s">
        <v>98</v>
      </c>
      <c r="I21" s="67">
        <f>I20/(25.4^2)</f>
        <v>13.395137815147271</v>
      </c>
      <c r="J21" s="62" t="s">
        <v>101</v>
      </c>
      <c r="L21" s="78" t="s">
        <v>98</v>
      </c>
      <c r="M21" s="67">
        <f>M20/(25.4^2)</f>
        <v>18.342197764313912</v>
      </c>
      <c r="N21" s="62" t="s">
        <v>101</v>
      </c>
    </row>
  </sheetData>
  <mergeCells count="6">
    <mergeCell ref="E2:F2"/>
    <mergeCell ref="E3:F3"/>
    <mergeCell ref="I2:J2"/>
    <mergeCell ref="I3:J3"/>
    <mergeCell ref="M2:N2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Hydraulic Expansion Scenario</vt:lpstr>
      <vt:lpstr>Fire Scenario</vt:lpstr>
      <vt:lpstr>Tube Rupture Scenario</vt:lpstr>
      <vt:lpstr>Blocked Outlet Scenario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</dc:creator>
  <cp:lastModifiedBy>Mohammareza Behrouzi</cp:lastModifiedBy>
  <dcterms:created xsi:type="dcterms:W3CDTF">2015-06-05T18:19:34Z</dcterms:created>
  <dcterms:modified xsi:type="dcterms:W3CDTF">2024-09-04T15:07:30Z</dcterms:modified>
</cp:coreProperties>
</file>