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Manuals\Tutorial\Seperator design\pressure vessel\"/>
    </mc:Choice>
  </mc:AlternateContent>
  <xr:revisionPtr revIDLastSave="0" documentId="13_ncr:1_{52B828D0-1664-4C88-AA12-1FCDF1948313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D-1001" sheetId="5" r:id="rId1"/>
    <sheet name="D-2011" sheetId="8" r:id="rId2"/>
    <sheet name="D-2002" sheetId="1" r:id="rId3"/>
    <sheet name="D-2003" sheetId="2" r:id="rId4"/>
    <sheet name="D-2004" sheetId="3" r:id="rId5"/>
    <sheet name="D-2005" sheetId="4" r:id="rId6"/>
    <sheet name="D-3001" sheetId="6" r:id="rId7"/>
    <sheet name="D-6001" sheetId="9" r:id="rId8"/>
    <sheet name="D-3002" sheetId="7" r:id="rId9"/>
    <sheet name="D-3011" sheetId="10" r:id="rId10"/>
    <sheet name="D-3012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7" l="1"/>
  <c r="D56" i="7"/>
  <c r="C45" i="6"/>
  <c r="K35" i="6"/>
  <c r="K28" i="6"/>
  <c r="K29" i="6" s="1"/>
  <c r="K21" i="6"/>
  <c r="K22" i="6" s="1"/>
  <c r="K15" i="6"/>
  <c r="K14" i="6"/>
  <c r="K18" i="6" s="1"/>
  <c r="K9" i="6"/>
  <c r="K34" i="6" s="1"/>
  <c r="L8" i="6"/>
  <c r="K8" i="6"/>
  <c r="K7" i="6"/>
  <c r="L6" i="6"/>
  <c r="L7" i="6" s="1"/>
  <c r="K5" i="6"/>
  <c r="L5" i="6" s="1"/>
  <c r="K33" i="1"/>
  <c r="K32" i="2"/>
  <c r="K33" i="2"/>
  <c r="C36" i="1"/>
  <c r="L10" i="2"/>
  <c r="L10" i="1"/>
  <c r="K10" i="1"/>
  <c r="K38" i="2"/>
  <c r="K38" i="3"/>
  <c r="K10" i="2"/>
  <c r="C37" i="2"/>
  <c r="K33" i="4"/>
  <c r="K34" i="4"/>
  <c r="K35" i="4"/>
  <c r="C38" i="3"/>
  <c r="C48" i="3"/>
  <c r="K5" i="3"/>
  <c r="L9" i="6" l="1"/>
  <c r="L10" i="6" s="1"/>
  <c r="K25" i="6"/>
  <c r="K16" i="6"/>
  <c r="K17" i="6" s="1"/>
  <c r="K10" i="6"/>
  <c r="K32" i="6"/>
  <c r="K33" i="6"/>
  <c r="L46" i="7"/>
  <c r="L47" i="7" s="1"/>
  <c r="L41" i="7"/>
  <c r="L42" i="7" s="1"/>
  <c r="L43" i="7" s="1"/>
  <c r="L34" i="7"/>
  <c r="L38" i="7" s="1"/>
  <c r="L35" i="7"/>
  <c r="K38" i="6" l="1"/>
  <c r="K36" i="6"/>
  <c r="K39" i="6" s="1"/>
  <c r="K40" i="6" s="1"/>
  <c r="L36" i="7"/>
  <c r="L37" i="7" s="1"/>
  <c r="L26" i="7" l="1"/>
  <c r="L27" i="7" l="1"/>
  <c r="L24" i="7"/>
  <c r="L16" i="7"/>
  <c r="L17" i="7" s="1"/>
  <c r="L18" i="7" s="1"/>
  <c r="L13" i="7"/>
  <c r="L12" i="7"/>
  <c r="L19" i="7" s="1"/>
  <c r="L7" i="7"/>
  <c r="L6" i="7"/>
  <c r="L8" i="7" s="1"/>
  <c r="L9" i="7" s="1"/>
  <c r="L5" i="7"/>
  <c r="L20" i="7" l="1"/>
  <c r="L21" i="7" s="1"/>
  <c r="L29" i="7" s="1"/>
  <c r="L30" i="7" s="1"/>
  <c r="L28" i="7"/>
  <c r="L31" i="7" l="1"/>
  <c r="L49" i="7" s="1"/>
  <c r="L22" i="7"/>
  <c r="L25" i="7" s="1"/>
  <c r="K35" i="11"/>
  <c r="K28" i="11"/>
  <c r="K29" i="11" s="1"/>
  <c r="K21" i="11"/>
  <c r="K25" i="11" s="1"/>
  <c r="K15" i="11"/>
  <c r="K14" i="11"/>
  <c r="K18" i="11" s="1"/>
  <c r="K8" i="11"/>
  <c r="K7" i="11"/>
  <c r="L6" i="11"/>
  <c r="L7" i="11" s="1"/>
  <c r="K5" i="11"/>
  <c r="L5" i="11" s="1"/>
  <c r="K35" i="10"/>
  <c r="K28" i="10"/>
  <c r="K29" i="10" s="1"/>
  <c r="K21" i="10"/>
  <c r="K25" i="10" s="1"/>
  <c r="K15" i="10"/>
  <c r="K14" i="10"/>
  <c r="K18" i="10" s="1"/>
  <c r="L8" i="10"/>
  <c r="K8" i="10"/>
  <c r="K7" i="10"/>
  <c r="L6" i="10"/>
  <c r="L7" i="10" s="1"/>
  <c r="K5" i="10"/>
  <c r="L5" i="10" s="1"/>
  <c r="L6" i="1"/>
  <c r="K22" i="11" l="1"/>
  <c r="K9" i="11"/>
  <c r="K34" i="11" s="1"/>
  <c r="K16" i="11"/>
  <c r="K17" i="11" s="1"/>
  <c r="L8" i="11"/>
  <c r="L9" i="11" s="1"/>
  <c r="L10" i="11" s="1"/>
  <c r="K9" i="10"/>
  <c r="K34" i="10" s="1"/>
  <c r="L9" i="10"/>
  <c r="L10" i="10" s="1"/>
  <c r="K16" i="10"/>
  <c r="K17" i="10" s="1"/>
  <c r="K22" i="10"/>
  <c r="L6" i="2"/>
  <c r="L7" i="2" s="1"/>
  <c r="L6" i="3"/>
  <c r="L7" i="3" s="1"/>
  <c r="L6" i="4"/>
  <c r="L7" i="4" s="1"/>
  <c r="L7" i="1"/>
  <c r="K35" i="1"/>
  <c r="K28" i="1"/>
  <c r="K29" i="1" s="1"/>
  <c r="K22" i="1"/>
  <c r="K21" i="1"/>
  <c r="K25" i="1" s="1"/>
  <c r="K16" i="1"/>
  <c r="K15" i="1"/>
  <c r="K14" i="1"/>
  <c r="K18" i="1" s="1"/>
  <c r="K8" i="1"/>
  <c r="K7" i="1"/>
  <c r="K5" i="1"/>
  <c r="L5" i="1" s="1"/>
  <c r="K35" i="2"/>
  <c r="K28" i="2"/>
  <c r="K29" i="2" s="1"/>
  <c r="K21" i="2"/>
  <c r="K25" i="2" s="1"/>
  <c r="K15" i="2"/>
  <c r="K14" i="2"/>
  <c r="K18" i="2" s="1"/>
  <c r="K8" i="2"/>
  <c r="K7" i="2"/>
  <c r="K5" i="2"/>
  <c r="L5" i="2" s="1"/>
  <c r="K35" i="3"/>
  <c r="K28" i="3"/>
  <c r="K29" i="3" s="1"/>
  <c r="K21" i="3"/>
  <c r="K25" i="3" s="1"/>
  <c r="K15" i="3"/>
  <c r="K14" i="3"/>
  <c r="K18" i="3" s="1"/>
  <c r="K8" i="3"/>
  <c r="K7" i="3"/>
  <c r="L5" i="3"/>
  <c r="K28" i="4"/>
  <c r="K29" i="4" s="1"/>
  <c r="K21" i="4"/>
  <c r="K25" i="4" s="1"/>
  <c r="K15" i="4"/>
  <c r="K14" i="4"/>
  <c r="K8" i="4"/>
  <c r="L8" i="4" s="1"/>
  <c r="K7" i="4"/>
  <c r="K9" i="4" s="1"/>
  <c r="K5" i="4"/>
  <c r="L5" i="4" s="1"/>
  <c r="K16" i="4" l="1"/>
  <c r="K17" i="4" s="1"/>
  <c r="K16" i="3"/>
  <c r="K17" i="3" s="1"/>
  <c r="K10" i="11"/>
  <c r="K22" i="3"/>
  <c r="K33" i="11"/>
  <c r="K17" i="1"/>
  <c r="K32" i="11"/>
  <c r="K10" i="10"/>
  <c r="K36" i="10" s="1"/>
  <c r="K39" i="10" s="1"/>
  <c r="K40" i="10" s="1"/>
  <c r="K32" i="10"/>
  <c r="K33" i="10"/>
  <c r="K9" i="1"/>
  <c r="K36" i="11"/>
  <c r="K38" i="11"/>
  <c r="K39" i="11" s="1"/>
  <c r="K40" i="11" s="1"/>
  <c r="K38" i="10"/>
  <c r="K10" i="4"/>
  <c r="K32" i="4"/>
  <c r="K34" i="1"/>
  <c r="K32" i="1"/>
  <c r="L8" i="1"/>
  <c r="L9" i="1" s="1"/>
  <c r="K22" i="2"/>
  <c r="K16" i="2"/>
  <c r="K17" i="2" s="1"/>
  <c r="K9" i="2"/>
  <c r="L8" i="2"/>
  <c r="L9" i="2" s="1"/>
  <c r="K9" i="3"/>
  <c r="K33" i="3" s="1"/>
  <c r="L8" i="3"/>
  <c r="L9" i="3" s="1"/>
  <c r="L10" i="3" s="1"/>
  <c r="K22" i="4"/>
  <c r="L9" i="4"/>
  <c r="L10" i="4" s="1"/>
  <c r="K18" i="4"/>
  <c r="C51" i="4"/>
  <c r="C50" i="4"/>
  <c r="C48" i="4"/>
  <c r="C47" i="4"/>
  <c r="C46" i="4"/>
  <c r="C41" i="4"/>
  <c r="K34" i="3" l="1"/>
  <c r="K10" i="3"/>
  <c r="K34" i="2"/>
  <c r="K32" i="3"/>
  <c r="K38" i="4"/>
  <c r="K36" i="4"/>
  <c r="K39" i="4" s="1"/>
  <c r="K40" i="4" s="1"/>
  <c r="K36" i="1"/>
  <c r="K39" i="1" s="1"/>
  <c r="K40" i="1" s="1"/>
  <c r="K38" i="1"/>
  <c r="K39" i="3" l="1"/>
  <c r="K40" i="3" s="1"/>
  <c r="K39" i="2"/>
  <c r="K40" i="2" s="1"/>
</calcChain>
</file>

<file path=xl/sharedStrings.xml><?xml version="1.0" encoding="utf-8"?>
<sst xmlns="http://schemas.openxmlformats.org/spreadsheetml/2006/main" count="891" uniqueCount="147">
  <si>
    <t>LIQUID</t>
  </si>
  <si>
    <t>GAS</t>
  </si>
  <si>
    <t>PROPERTIES</t>
  </si>
  <si>
    <t>INLET</t>
  </si>
  <si>
    <t>VESSEL INFO</t>
  </si>
  <si>
    <t>TT LINE</t>
  </si>
  <si>
    <t>MATERIAL</t>
  </si>
  <si>
    <t>TOP HEAD TYPE</t>
  </si>
  <si>
    <t>BOT. HEAD TYPE</t>
  </si>
  <si>
    <t>INPUT</t>
  </si>
  <si>
    <t>MIN LEVEL</t>
  </si>
  <si>
    <t>LOW LEVEL</t>
  </si>
  <si>
    <t>HIGH LEVEL</t>
  </si>
  <si>
    <t>MAX LEVEL</t>
  </si>
  <si>
    <t>NOZZLE DEVICE I</t>
  </si>
  <si>
    <t>NOZZLE DEVICE O</t>
  </si>
  <si>
    <t>FLOW-KG/H</t>
  </si>
  <si>
    <t>MW-KG/KMOL</t>
  </si>
  <si>
    <t>TEMPERATURE-C</t>
  </si>
  <si>
    <t>PRESSURE-BARG</t>
  </si>
  <si>
    <t>TD-C</t>
  </si>
  <si>
    <t>PD-BARG</t>
  </si>
  <si>
    <t>DENSITY-KG/M3</t>
  </si>
  <si>
    <t>OUTPUT</t>
  </si>
  <si>
    <t>INNER DIAMETER-MM</t>
  </si>
  <si>
    <t>SS</t>
  </si>
  <si>
    <t>ELLIPSOIDAL</t>
  </si>
  <si>
    <t>HALF-OPEN PIPE</t>
  </si>
  <si>
    <t>VORTEX BREAKER</t>
  </si>
  <si>
    <t>DEMISTER</t>
  </si>
  <si>
    <t>YORK MESH TYPE 709</t>
  </si>
  <si>
    <t>THICKNESS</t>
  </si>
  <si>
    <t>MOUNTING</t>
  </si>
  <si>
    <t>TT DISTANCE</t>
  </si>
  <si>
    <t>SS316</t>
  </si>
  <si>
    <t>EFFECTIVE DIAMETER-MM</t>
  </si>
  <si>
    <t>SUPPORT RING</t>
  </si>
  <si>
    <t>CS</t>
  </si>
  <si>
    <t>SPHERICAL</t>
  </si>
  <si>
    <t xml:space="preserve">NOZZLE DEVICE </t>
  </si>
  <si>
    <t>SPARGER</t>
  </si>
  <si>
    <t>KOCH-GLITSCH MODEL 746 LATERAL ARM VAPOR DISTRIBUTOR</t>
  </si>
  <si>
    <t>LP STEAM</t>
  </si>
  <si>
    <t>CONFIGURATION-D</t>
  </si>
  <si>
    <t>HORIZONTAL - 6450</t>
  </si>
  <si>
    <t>FULL VACCUM</t>
  </si>
  <si>
    <t xml:space="preserve">HALF OPEN PIPE </t>
  </si>
  <si>
    <t>SUPPORT BEAMS</t>
  </si>
  <si>
    <t>SPLASH PLATE</t>
  </si>
  <si>
    <t>NUMBER OF TRAYS</t>
  </si>
  <si>
    <t>TRAY DIAMETER</t>
  </si>
  <si>
    <t>TRAY TYPE</t>
  </si>
  <si>
    <t>TRAY PASS</t>
  </si>
  <si>
    <t>TURNDOWN RATIO</t>
  </si>
  <si>
    <t>BUBBLE CAP</t>
  </si>
  <si>
    <t>SINGLE PASS</t>
  </si>
  <si>
    <t>TRAY SPACING-MM</t>
  </si>
  <si>
    <t>TRAY MATERIAL</t>
  </si>
  <si>
    <t>MAX PRESSURE DROP-MBAR</t>
  </si>
  <si>
    <t>VANE PACK</t>
  </si>
  <si>
    <t>DROPLET SIZE REMOVED</t>
  </si>
  <si>
    <t>10 MICRON</t>
  </si>
  <si>
    <t>EFFICIENCY</t>
  </si>
  <si>
    <t>OVERALL PRESSURE DROP-MBAR</t>
  </si>
  <si>
    <t>L/D</t>
  </si>
  <si>
    <t>H1</t>
  </si>
  <si>
    <t>H2</t>
  </si>
  <si>
    <t>H3</t>
  </si>
  <si>
    <t>H4</t>
  </si>
  <si>
    <t>H5</t>
  </si>
  <si>
    <t>H6</t>
  </si>
  <si>
    <t>H7</t>
  </si>
  <si>
    <t>H8</t>
  </si>
  <si>
    <t>TOPSOE OUTPUT</t>
  </si>
  <si>
    <t>INLET NOZZLE -MM</t>
  </si>
  <si>
    <t>VT</t>
  </si>
  <si>
    <t>CM</t>
  </si>
  <si>
    <t>OUTLET NOZZLE</t>
  </si>
  <si>
    <t>VT-FOSTER WILLER</t>
  </si>
  <si>
    <t>TOTAL</t>
  </si>
  <si>
    <t>RHOV-RHOG-1</t>
  </si>
  <si>
    <t>VS</t>
  </si>
  <si>
    <t>VG</t>
  </si>
  <si>
    <t>QG</t>
  </si>
  <si>
    <t>ID</t>
  </si>
  <si>
    <t>SELECTED ID</t>
  </si>
  <si>
    <t>SP9,10</t>
  </si>
  <si>
    <t>K FACTOR</t>
  </si>
  <si>
    <t>NOZZLE SIZING</t>
  </si>
  <si>
    <t>ESTIMATED ID</t>
  </si>
  <si>
    <t>NOZZLE AREA</t>
  </si>
  <si>
    <t>RHOMIXTURE</t>
  </si>
  <si>
    <t>VM</t>
  </si>
  <si>
    <t>RHOVM2</t>
  </si>
  <si>
    <t>RHOVG2</t>
  </si>
  <si>
    <t>&lt;=6000</t>
  </si>
  <si>
    <t>&lt;=3750</t>
  </si>
  <si>
    <t>VAPOR</t>
  </si>
  <si>
    <t>VL</t>
  </si>
  <si>
    <t>HEIGHT CALCULATION</t>
  </si>
  <si>
    <t>HT</t>
  </si>
  <si>
    <t>h1</t>
  </si>
  <si>
    <t>h2</t>
  </si>
  <si>
    <t>h3</t>
  </si>
  <si>
    <t>h4</t>
  </si>
  <si>
    <t>h5</t>
  </si>
  <si>
    <t>h6</t>
  </si>
  <si>
    <t>ht</t>
  </si>
  <si>
    <t>GPSA</t>
  </si>
  <si>
    <t>Conventional</t>
  </si>
  <si>
    <t>P-PSIA</t>
  </si>
  <si>
    <t>YORK</t>
  </si>
  <si>
    <t>ASSUMED ID</t>
  </si>
  <si>
    <t>SELECTED L/D</t>
  </si>
  <si>
    <t>L</t>
  </si>
  <si>
    <t>2.5&lt;=L/D&lt;=5</t>
  </si>
  <si>
    <t>AT</t>
  </si>
  <si>
    <t>BTM-LLLL</t>
  </si>
  <si>
    <t>LLLL-LLL</t>
  </si>
  <si>
    <t>LLL/D</t>
  </si>
  <si>
    <t>θ</t>
  </si>
  <si>
    <t>A(LLL)/At</t>
  </si>
  <si>
    <t>A(LLL-HLL)</t>
  </si>
  <si>
    <t>A(LLL)</t>
  </si>
  <si>
    <t>A(HLL)</t>
  </si>
  <si>
    <t>A(HLL)/At</t>
  </si>
  <si>
    <t>HLL/D</t>
  </si>
  <si>
    <t>error</t>
  </si>
  <si>
    <t>HLL</t>
  </si>
  <si>
    <t>Hv</t>
  </si>
  <si>
    <t>phi</t>
  </si>
  <si>
    <t>Av</t>
  </si>
  <si>
    <t>Uv</t>
  </si>
  <si>
    <t>Lmin</t>
  </si>
  <si>
    <t>RHO-MIXTURE</t>
  </si>
  <si>
    <t>RHOMV2</t>
  </si>
  <si>
    <t>RHOGV2</t>
  </si>
  <si>
    <t>OUTLET</t>
  </si>
  <si>
    <t>V</t>
  </si>
  <si>
    <t>OUTLET-VAPOUR</t>
  </si>
  <si>
    <t>OUTLET-LIQUID</t>
  </si>
  <si>
    <t>H1+2+3</t>
  </si>
  <si>
    <t># ACCORDING TO GPSA RANGE AND PV2 VALUE, AN OPEN-HALF INLET PIPE IS SELECTED</t>
  </si>
  <si>
    <t>INLET NOZZLE-MM</t>
  </si>
  <si>
    <t>OUTLET NOZZLE-MM</t>
  </si>
  <si>
    <t>LIQ-OUTLET NOZZLE</t>
  </si>
  <si>
    <t>3*24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</si>
</sst>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6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</cellStyleXfs>
  <cellXfs count="34">
    <xf numFmtId="0" fontId="0" fillId="0" borderId="0" xfId="0"/>
    <xf numFmtId="0" fontId="2" fillId="3" borderId="0" xfId="2" applyAlignment="1">
      <alignment horizontal="center"/>
    </xf>
    <xf numFmtId="0" fontId="3" fillId="4" borderId="1" xfId="3" applyAlignment="1">
      <alignment horizontal="center"/>
    </xf>
    <xf numFmtId="0" fontId="4" fillId="5" borderId="1" xfId="4"/>
    <xf numFmtId="0" fontId="4" fillId="5" borderId="1" xfId="4" applyAlignment="1">
      <alignment horizontal="center"/>
    </xf>
    <xf numFmtId="0" fontId="4" fillId="5" borderId="1" xfId="4" applyFont="1" applyAlignment="1">
      <alignment horizontal="center"/>
    </xf>
    <xf numFmtId="0" fontId="7" fillId="3" borderId="0" xfId="2" applyFont="1" applyAlignment="1">
      <alignment horizontal="center"/>
    </xf>
    <xf numFmtId="0" fontId="8" fillId="4" borderId="1" xfId="3" applyFont="1" applyAlignment="1">
      <alignment horizontal="center"/>
    </xf>
    <xf numFmtId="0" fontId="6" fillId="0" borderId="0" xfId="6"/>
    <xf numFmtId="0" fontId="5" fillId="6" borderId="2" xfId="5" applyAlignment="1">
      <alignment horizontal="center"/>
    </xf>
    <xf numFmtId="0" fontId="5" fillId="6" borderId="3" xfId="5" applyBorder="1" applyAlignment="1">
      <alignment horizontal="center"/>
    </xf>
    <xf numFmtId="0" fontId="1" fillId="2" borderId="0" xfId="1" applyAlignment="1">
      <alignment horizontal="center"/>
    </xf>
    <xf numFmtId="0" fontId="9" fillId="7" borderId="0" xfId="7"/>
    <xf numFmtId="0" fontId="3" fillId="4" borderId="1" xfId="3"/>
    <xf numFmtId="9" fontId="2" fillId="3" borderId="0" xfId="2" applyNumberFormat="1" applyAlignment="1">
      <alignment horizontal="center"/>
    </xf>
    <xf numFmtId="0" fontId="10" fillId="8" borderId="0" xfId="8" applyAlignment="1">
      <alignment horizontal="center"/>
    </xf>
    <xf numFmtId="0" fontId="11" fillId="8" borderId="0" xfId="8" applyFont="1" applyAlignment="1">
      <alignment horizontal="center"/>
    </xf>
    <xf numFmtId="0" fontId="2" fillId="3" borderId="0" xfId="2"/>
    <xf numFmtId="0" fontId="12" fillId="9" borderId="0" xfId="9" applyAlignment="1">
      <alignment horizontal="center"/>
    </xf>
    <xf numFmtId="0" fontId="12" fillId="10" borderId="0" xfId="10" applyAlignment="1">
      <alignment horizontal="center"/>
    </xf>
    <xf numFmtId="0" fontId="12" fillId="10" borderId="0" xfId="10"/>
    <xf numFmtId="0" fontId="12" fillId="10" borderId="0" xfId="10" applyNumberFormat="1" applyAlignment="1">
      <alignment horizontal="center"/>
    </xf>
    <xf numFmtId="0" fontId="2" fillId="3" borderId="1" xfId="2" applyBorder="1" applyAlignment="1">
      <alignment horizontal="center"/>
    </xf>
    <xf numFmtId="0" fontId="12" fillId="9" borderId="0" xfId="9" applyNumberFormat="1" applyAlignment="1">
      <alignment horizontal="center"/>
    </xf>
    <xf numFmtId="0" fontId="2" fillId="3" borderId="0" xfId="2" applyNumberFormat="1" applyAlignment="1">
      <alignment horizontal="center"/>
    </xf>
    <xf numFmtId="0" fontId="4" fillId="5" borderId="4" xfId="4" applyBorder="1" applyAlignment="1">
      <alignment horizontal="center"/>
    </xf>
    <xf numFmtId="0" fontId="5" fillId="6" borderId="3" xfId="5" applyBorder="1"/>
    <xf numFmtId="0" fontId="9" fillId="7" borderId="0" xfId="7" applyAlignment="1">
      <alignment horizontal="center"/>
    </xf>
    <xf numFmtId="0" fontId="13" fillId="7" borderId="0" xfId="7" applyFont="1"/>
    <xf numFmtId="0" fontId="13" fillId="7" borderId="0" xfId="7" applyFont="1" applyAlignment="1">
      <alignment horizontal="center"/>
    </xf>
    <xf numFmtId="0" fontId="4" fillId="5" borderId="0" xfId="4" applyBorder="1" applyAlignment="1">
      <alignment horizontal="center"/>
    </xf>
    <xf numFmtId="0" fontId="0" fillId="0" borderId="0" xfId="0" applyAlignment="1">
      <alignment horizontal="center"/>
    </xf>
    <xf numFmtId="0" fontId="4" fillId="5" borderId="5" xfId="4" applyBorder="1" applyAlignment="1">
      <alignment horizontal="center"/>
    </xf>
    <xf numFmtId="0" fontId="4" fillId="5" borderId="5" xfId="4" applyBorder="1"/>
  </cellXfs>
  <cellStyles count="11">
    <cellStyle name="20% - Accent6" xfId="8" builtinId="50"/>
    <cellStyle name="60% - Accent6" xfId="10" builtinId="52"/>
    <cellStyle name="Accent6" xfId="9" builtinId="49"/>
    <cellStyle name="Bad" xfId="7" builtinId="27"/>
    <cellStyle name="Calculation" xfId="4" builtinId="22"/>
    <cellStyle name="Check Cell" xfId="5" builtinId="23"/>
    <cellStyle name="Explanatory Text" xfId="6" builtinId="53"/>
    <cellStyle name="Good" xfId="1" builtinId="26"/>
    <cellStyle name="Input" xfId="3" builtinId="20"/>
    <cellStyle name="Neutral" xfId="2" builtinId="28"/>
    <cellStyle name="Normal" xfId="0" builtinId="0"/>
  </cellStyles>
  <dxfs count="174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7F7F7F"/>
        </left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0000000}" name="Table18141720" displayName="Table18141720" ref="D3:D17" totalsRowShown="0" headerRowDxfId="173" dataDxfId="172" headerRowCellStyle="Check Cell" dataCellStyle="Neutral">
  <tableColumns count="1">
    <tableColumn id="1" xr3:uid="{00000000-0010-0000-0000-000001000000}" name="INLET" dataDxfId="171" dataCellStyle="Neutral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A000000}" name="Table6132948" displayName="Table6132948" ref="L4:L40" totalsRowShown="0" headerRowDxfId="142" dataDxfId="141" tableBorderDxfId="140" headerRowCellStyle="Accent6" dataCellStyle="Accent6">
  <tableColumns count="1">
    <tableColumn id="1" xr3:uid="{00000000-0010-0000-0A00-000001000000}" name="OUTPUT" dataDxfId="139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1B1CBAB-96F9-4EAC-BB55-79AF30A42AE1}" name="Table31016" displayName="Table31016" ref="C35:C47" totalsRowShown="0" headerRowDxfId="138" dataDxfId="137" headerRowCellStyle="20% - Accent6" dataCellStyle="Good">
  <tableColumns count="1">
    <tableColumn id="1" xr3:uid="{4D5E83B7-6933-4BB1-93DC-F7B4B0754D14}" name="TOPSOE OUTPUT" dataDxfId="136" dataCellStyle="Good">
      <calculatedColumnFormula xml:space="preserve"> C21/C20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e18" displayName="Table18" ref="C3:C17" totalsRowShown="0" headerRowDxfId="135" dataDxfId="134" headerRowCellStyle="Check Cell" dataCellStyle="Neutral">
  <tableColumns count="1">
    <tableColumn id="1" xr3:uid="{00000000-0010-0000-0B00-000001000000}" name="INLET" dataDxfId="133" dataCellStyle="Neutral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le29" displayName="Table29" ref="C20:C35" totalsRowShown="0" headerRowDxfId="132" dataDxfId="131" tableBorderDxfId="130" headerRowCellStyle="Neutral" dataCellStyle="Neutral">
  <tableColumns count="1">
    <tableColumn id="1" xr3:uid="{00000000-0010-0000-0C00-000001000000}" name="INPUT" dataDxfId="129" dataCellStyle="Neutral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le310" displayName="Table310" ref="C36:C48" totalsRowShown="0" headerRowDxfId="128" dataDxfId="127" headerRowCellStyle="20% - Accent6" dataCellStyle="Good">
  <tableColumns count="1">
    <tableColumn id="1" xr3:uid="{00000000-0010-0000-0D00-000001000000}" name="TOPSOE OUTPUT" dataDxfId="126" dataCellStyle="Good">
      <calculatedColumnFormula xml:space="preserve"> C22/C21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E000000}" name="Table51225" displayName="Table51225" ref="K4:K40" totalsRowShown="0" headerRowDxfId="125" dataDxfId="124" tableBorderDxfId="123" headerRowCellStyle="60% - Accent6" dataCellStyle="60% - Accent6">
  <tableColumns count="1">
    <tableColumn id="1" xr3:uid="{00000000-0010-0000-0E00-000001000000}" name="OUTPUT" dataDxfId="122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F000000}" name="Table61329" displayName="Table61329" ref="L4:L40" totalsRowShown="0" headerRowDxfId="121" dataDxfId="120" tableBorderDxfId="119" headerRowCellStyle="Accent6" dataCellStyle="Accent6">
  <tableColumns count="1">
    <tableColumn id="1" xr3:uid="{00000000-0010-0000-0F00-000001000000}" name="OUTPUT" dataDxfId="118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0000000}" name="Table1814" displayName="Table1814" ref="C3:C17" totalsRowShown="0" headerRowDxfId="117" dataDxfId="116" headerRowCellStyle="Check Cell" dataCellStyle="Neutral">
  <tableColumns count="1">
    <tableColumn id="1" xr3:uid="{00000000-0010-0000-1000-000001000000}" name="INLET" dataDxfId="115" dataCellStyle="Neutral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1000000}" name="Table2915" displayName="Table2915" ref="C20:C35" totalsRowShown="0" headerRowDxfId="114" dataDxfId="113" tableBorderDxfId="112" headerRowCellStyle="Neutral" dataCellStyle="Neutral">
  <tableColumns count="1">
    <tableColumn id="1" xr3:uid="{00000000-0010-0000-1100-000001000000}" name="INPUT" dataDxfId="111" dataCellStyle="Neutral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3000000}" name="Table512" displayName="Table512" ref="K4:K40" totalsRowShown="0" headerRowDxfId="110" dataDxfId="109" tableBorderDxfId="108" headerRowCellStyle="60% - Accent6" dataCellStyle="60% - Accent6">
  <tableColumns count="1">
    <tableColumn id="1" xr3:uid="{00000000-0010-0000-1300-000001000000}" name="OUTPUT" dataDxfId="107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1000000}" name="Table29151821" displayName="Table29151821" ref="D20:D39" totalsRowShown="0" headerRowDxfId="170" dataDxfId="169" tableBorderDxfId="168" headerRowCellStyle="Neutral" dataCellStyle="Neutral">
  <tableColumns count="1">
    <tableColumn id="1" xr3:uid="{00000000-0010-0000-0100-000001000000}" name="INPUT" dataDxfId="167" dataCellStyle="Neutral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4000000}" name="Table613" displayName="Table613" ref="L4:L40" totalsRowShown="0" headerRowDxfId="106" dataDxfId="105" tableBorderDxfId="104" headerRowCellStyle="Accent6" dataCellStyle="Accent6">
  <tableColumns count="1">
    <tableColumn id="1" xr3:uid="{00000000-0010-0000-1400-000001000000}" name="OUTPUT" dataDxfId="103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5000000}" name="Table411" displayName="Table411" ref="C37:C49" totalsRowShown="0" headerRowDxfId="102" dataDxfId="101" headerRowCellStyle="20% - Accent6" dataCellStyle="20% - Accent6">
  <tableColumns count="1">
    <tableColumn id="1" xr3:uid="{00000000-0010-0000-1500-000001000000}" name="TOPSOE OUTPUT" dataDxfId="100" dataCellStyle="20% - Accent6">
      <calculatedColumnFormula>C19/C18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6000000}" name="Table181417" displayName="Table181417" ref="C3:C17" totalsRowShown="0" headerRowDxfId="99" dataDxfId="98" headerRowCellStyle="Check Cell" dataCellStyle="Neutral">
  <tableColumns count="1">
    <tableColumn id="1" xr3:uid="{00000000-0010-0000-1600-000001000000}" name="INLET" dataDxfId="97" dataCellStyle="Neutral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7000000}" name="Table291518" displayName="Table291518" ref="C20:C39" totalsRowShown="0" headerRowDxfId="96" dataDxfId="95" tableBorderDxfId="94" headerRowCellStyle="Neutral" dataCellStyle="Neutral">
  <tableColumns count="1">
    <tableColumn id="1" xr3:uid="{00000000-0010-0000-1700-000001000000}" name="INPUT" dataDxfId="93" dataCellStyle="Neutral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A000000}" name="Table5" displayName="Table5" ref="K4:K40" totalsRowShown="0" headerRowDxfId="92" dataDxfId="91" tableBorderDxfId="90" headerRowCellStyle="60% - Accent6" dataCellStyle="60% - Accent6">
  <tableColumns count="1">
    <tableColumn id="1" xr3:uid="{00000000-0010-0000-1A00-000001000000}" name="OUTPUT" dataDxfId="89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B000000}" name="Table6" displayName="Table6" ref="L4:L40" totalsRowShown="0" headerRowDxfId="88" dataDxfId="87" tableBorderDxfId="86" headerRowCellStyle="Accent6" dataCellStyle="Accent6">
  <tableColumns count="1">
    <tableColumn id="1" xr3:uid="{00000000-0010-0000-1B00-000001000000}" name="OUTPUT" dataDxfId="85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3C72B3C-7DB5-46CB-A98A-611846C85BCF}" name="Table54" displayName="Table54" ref="C40:C53" totalsRowShown="0" headerRowDxfId="84" dataDxfId="83" tableBorderDxfId="82" headerRowCellStyle="20% - Accent6" dataCellStyle="20% - Accent6">
  <tableColumns count="1">
    <tableColumn id="1" xr3:uid="{A162A1FC-8694-464D-A4FE-AD9690484352}" name="TOPSOE OUTPUT" dataDxfId="81" dataCellStyle="20% - Accent6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D000000}" name="Table2915182127" displayName="Table2915182127" ref="C20:C43" totalsRowShown="0" headerRowDxfId="80" dataDxfId="79" tableBorderDxfId="78" headerRowCellStyle="Neutral" dataCellStyle="Neutral">
  <tableColumns count="1">
    <tableColumn id="1" xr3:uid="{00000000-0010-0000-1D00-000001000000}" name="INPUT" dataDxfId="77" dataCellStyle="Neutral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E000000}" name="Table31016192228" displayName="Table31016192228" ref="C44:C56" totalsRowShown="0" headerRowDxfId="76" dataDxfId="75" headerRowCellStyle="20% - Accent6" dataCellStyle="20% - Accent6">
  <tableColumns count="1">
    <tableColumn id="1" xr3:uid="{00000000-0010-0000-1E00-000001000000}" name="TOPSOE OUTPUT" dataDxfId="74" dataCellStyle="20% - Accent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C000000}" name="Table1814172026" displayName="Table1814172026" ref="C3:C17" totalsRowShown="0" headerRowDxfId="73" dataDxfId="72" headerRowCellStyle="Check Cell" dataCellStyle="Neutral">
  <tableColumns count="1">
    <tableColumn id="1" xr3:uid="{00000000-0010-0000-1C00-000001000000}" name="INLET" dataDxfId="71" dataCellStyle="Neutr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Table310161922" displayName="Table310161922" ref="D40:D52" totalsRowShown="0" headerRowDxfId="166" dataDxfId="165" headerRowCellStyle="Good" dataCellStyle="Good">
  <tableColumns count="1">
    <tableColumn id="1" xr3:uid="{00000000-0010-0000-0200-000001000000}" name="OUTPUT" dataDxfId="164" dataCellStyle="Good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0D2727F-E69B-4E80-84F7-9C46DC6D3568}" name="Table549" displayName="Table549" ref="K4:K40" totalsRowShown="0" headerRowDxfId="70" dataDxfId="69" tableBorderDxfId="68" headerRowCellStyle="60% - Accent6" dataCellStyle="60% - Accent6">
  <tableColumns count="1">
    <tableColumn id="1" xr3:uid="{49775051-D0E1-4900-B0F5-BEC59409A570}" name="OUTPUT" dataDxfId="67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60F5F9A-6E4A-4698-93A3-DC999B2AED68}" name="Table654" displayName="Table654" ref="L4:L40" totalsRowShown="0" headerRowDxfId="66" dataDxfId="65" tableBorderDxfId="64" headerRowCellStyle="Accent6" dataCellStyle="Accent6">
  <tableColumns count="1">
    <tableColumn id="1" xr3:uid="{A74898F3-B09D-4DB3-9DA5-451F4458A994}" name="OUTPUT" dataDxfId="63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le18141720263238" displayName="Table18141720263238" ref="D3:D17" totalsRowShown="0" headerRowDxfId="62" dataDxfId="61" headerRowCellStyle="Check Cell" dataCellStyle="Neutral">
  <tableColumns count="1">
    <tableColumn id="1" xr3:uid="{00000000-0010-0000-2300-000001000000}" name="INLET" dataDxfId="60" dataCellStyle="Neutral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le29151821273339" displayName="Table29151821273339" ref="D20:D47" totalsRowShown="0" headerRowDxfId="59" dataDxfId="58" tableBorderDxfId="57" headerRowCellStyle="Neutral" dataCellStyle="Neutral">
  <tableColumns count="1">
    <tableColumn id="1" xr3:uid="{00000000-0010-0000-2400-000001000000}" name="INPUT" dataDxfId="56" dataCellStyle="Neutral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le310161922283440" displayName="Table310161922283440" ref="D48:D60" totalsRowShown="0" headerRowDxfId="55" dataDxfId="54" headerRowCellStyle="Good" dataCellStyle="Good">
  <tableColumns count="1">
    <tableColumn id="1" xr3:uid="{00000000-0010-0000-2500-000001000000}" name="OUTPUT" dataDxfId="53" dataCellStyle="Good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F000000}" name="Table181417202632" displayName="Table181417202632" ref="D3:D17" totalsRowShown="0" headerRowDxfId="52" dataDxfId="51" headerRowCellStyle="Check Cell" dataCellStyle="Neutral">
  <tableColumns count="1">
    <tableColumn id="1" xr3:uid="{00000000-0010-0000-1F00-000001000000}" name="INLET" dataDxfId="50" dataCellStyle="Neutral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0000000}" name="Table291518212733" displayName="Table291518212733" ref="D20:D44" totalsRowShown="0" headerRowDxfId="49" dataDxfId="48" tableBorderDxfId="47" headerRowCellStyle="Neutral" dataCellStyle="Neutral">
  <tableColumns count="1">
    <tableColumn id="1" xr3:uid="{00000000-0010-0000-2000-000001000000}" name="INPUT" dataDxfId="46" dataCellStyle="Neutral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1000000}" name="Table22" displayName="Table22" ref="L4:L31" totalsRowShown="0" headerRowDxfId="45" dataDxfId="44" tableBorderDxfId="43" headerRowCellStyle="60% - Accent6" dataCellStyle="60% - Accent6">
  <tableColumns count="1">
    <tableColumn id="1" xr3:uid="{00000000-0010-0000-2100-000001000000}" name="OUTPUT" dataDxfId="42" dataCellStyle="60% - Accent6">
      <calculatedColumnFormula xml:space="preserve"> (E9+1) * 14.5</calculatedColumnFormula>
    </tableColumn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22000000}" name="Table23" displayName="Table23" ref="M6:M8" totalsRowShown="0" headerRowDxfId="41" dataDxfId="40" headerRowCellStyle="Bad" dataCellStyle="Bad">
  <tableColumns count="1">
    <tableColumn id="1" xr3:uid="{00000000-0010-0000-2200-000001000000}" name="YORK" dataDxfId="39" dataCellStyle="Bad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79978D-224E-4C43-BF17-6A51DF1DAE2B}" name="Table4114" displayName="Table4114" ref="D45:D57" totalsRowShown="0" headerRowDxfId="2" dataDxfId="1" headerRowCellStyle="20% - Accent6" dataCellStyle="20% - Accent6">
  <tableColumns count="1">
    <tableColumn id="1" xr3:uid="{DFAE9062-57AF-40D1-925E-F9867352B726}" name="TOPSOE OUTPUT" dataDxfId="0" dataCellStyle="20% - Accent6">
      <calculatedColumnFormula>D27/D26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3000000}" name="Table18141720263235" displayName="Table18141720263235" ref="D3:D17" totalsRowShown="0" headerRowDxfId="163" dataDxfId="162" headerRowCellStyle="Check Cell" dataCellStyle="Neutral">
  <tableColumns count="1">
    <tableColumn id="1" xr3:uid="{00000000-0010-0000-0300-000001000000}" name="INLET" dataDxfId="161" dataCellStyle="Neutral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6000000}" name="Table2915182127333942" displayName="Table2915182127333942" ref="D20:D47" totalsRowShown="0" headerRowDxfId="38" dataDxfId="37" tableBorderDxfId="36" headerRowCellStyle="Neutral" dataCellStyle="Neutral">
  <tableColumns count="1">
    <tableColumn id="1" xr3:uid="{00000000-0010-0000-2600-000001000000}" name="INPUT" dataDxfId="35" dataCellStyle="Neutral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7000000}" name="Table31016192228344043" displayName="Table31016192228344043" ref="D48:D60" totalsRowShown="0" headerRowDxfId="34" dataDxfId="33" headerRowCellStyle="Good" dataCellStyle="Good">
  <tableColumns count="1">
    <tableColumn id="1" xr3:uid="{00000000-0010-0000-2700-000001000000}" name="OUTPUT" dataDxfId="32" dataCellStyle="Good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8000000}" name="Table1814172026323841" displayName="Table1814172026323841" ref="C3:C17" totalsRowShown="0" headerRowDxfId="31" dataDxfId="30" headerRowCellStyle="Check Cell" dataCellStyle="Neutral">
  <tableColumns count="1">
    <tableColumn id="1" xr3:uid="{00000000-0010-0000-2800-000001000000}" name="INLET" dataDxfId="29" dataCellStyle="Neutral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9000000}" name="Table550" displayName="Table550" ref="K4:K40" totalsRowShown="0" headerRowDxfId="28" dataDxfId="27" tableBorderDxfId="26" headerRowCellStyle="60% - Accent6" dataCellStyle="60% - Accent6">
  <tableColumns count="1">
    <tableColumn id="1" xr3:uid="{00000000-0010-0000-2900-000001000000}" name="OUTPUT" dataDxfId="25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A000000}" name="Table651" displayName="Table651" ref="L4:L40" totalsRowShown="0" headerRowDxfId="24" dataDxfId="23" tableBorderDxfId="22" headerRowCellStyle="Accent6" dataCellStyle="Accent6">
  <tableColumns count="1">
    <tableColumn id="1" xr3:uid="{00000000-0010-0000-2A00-000001000000}" name="OUTPUT" dataDxfId="21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B000000}" name="Table181417202632384144" displayName="Table181417202632384144" ref="C3:C17" totalsRowShown="0" headerRowDxfId="20" dataDxfId="19" headerRowCellStyle="Check Cell" dataCellStyle="Neutral">
  <tableColumns count="1">
    <tableColumn id="1" xr3:uid="{00000000-0010-0000-2B00-000001000000}" name="INLET" dataDxfId="18" dataCellStyle="Neutral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C000000}" name="Table291518212733394245" displayName="Table291518212733394245" ref="D20:D47" totalsRowShown="0" headerRowDxfId="17" dataDxfId="16" tableBorderDxfId="15" headerRowCellStyle="Neutral" dataCellStyle="Neutral">
  <tableColumns count="1">
    <tableColumn id="1" xr3:uid="{00000000-0010-0000-2C00-000001000000}" name="INPUT" dataDxfId="14" dataCellStyle="Neutral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D000000}" name="Table3101619222834404346" displayName="Table3101619222834404346" ref="D48:D60" totalsRowShown="0" headerRowDxfId="13" dataDxfId="12" headerRowCellStyle="Good" dataCellStyle="Good">
  <tableColumns count="1">
    <tableColumn id="1" xr3:uid="{00000000-0010-0000-2D00-000001000000}" name="OUTPUT" dataDxfId="11" dataCellStyle="Good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E000000}" name="Table55052" displayName="Table55052" ref="K4:K40" totalsRowShown="0" headerRowDxfId="10" dataDxfId="9" tableBorderDxfId="8" headerRowCellStyle="60% - Accent6" dataCellStyle="60% - Accent6">
  <tableColumns count="1">
    <tableColumn id="1" xr3:uid="{00000000-0010-0000-2E00-000001000000}" name="OUTPUT" dataDxfId="7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2F000000}" name="Table65153" displayName="Table65153" ref="L4:L40" totalsRowShown="0" headerRowDxfId="6" dataDxfId="5" tableBorderDxfId="4" headerRowCellStyle="Accent6" dataCellStyle="Accent6">
  <tableColumns count="1">
    <tableColumn id="1" xr3:uid="{00000000-0010-0000-2F00-000001000000}" name="OUTPUT" dataDxfId="3" dataCellStyle="Accent6">
      <calculatedColumnFormula>Table5[[#This Row],[OUTPUT]]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4000000}" name="Table29151821273336" displayName="Table29151821273336" ref="D20:D39" totalsRowShown="0" headerRowDxfId="160" dataDxfId="159" tableBorderDxfId="158" headerRowCellStyle="Neutral" dataCellStyle="Neutral">
  <tableColumns count="1">
    <tableColumn id="1" xr3:uid="{00000000-0010-0000-0400-000001000000}" name="INPUT" dataDxfId="157" dataCellStyle="Neutr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5000000}" name="Table310161922283437" displayName="Table310161922283437" ref="D40:D52" totalsRowShown="0" headerRowDxfId="156" dataDxfId="155" headerRowCellStyle="Good" dataCellStyle="Good">
  <tableColumns count="1">
    <tableColumn id="1" xr3:uid="{00000000-0010-0000-0500-000001000000}" name="OUTPUT" dataDxfId="154" dataCellStyle="Good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e1" displayName="Table1" ref="C3:C17" totalsRowShown="0" headerRowDxfId="153" dataDxfId="152" headerRowCellStyle="Check Cell" dataCellStyle="Neutral">
  <tableColumns count="1">
    <tableColumn id="1" xr3:uid="{00000000-0010-0000-0600-000001000000}" name="INLET" dataDxfId="151" dataCellStyle="Neutr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le2" displayName="Table2" ref="C20:C34" totalsRowShown="0" headerRowDxfId="150" dataDxfId="149" tableBorderDxfId="148" headerRowCellStyle="Neutral" dataCellStyle="Neutral">
  <tableColumns count="1">
    <tableColumn id="1" xr3:uid="{00000000-0010-0000-0700-000001000000}" name="INPUT" dataDxfId="147" dataCellStyle="Neutra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9000000}" name="Table5122547" displayName="Table5122547" ref="K4:K40" totalsRowShown="0" headerRowDxfId="146" dataDxfId="145" tableBorderDxfId="144" headerRowCellStyle="60% - Accent6" dataCellStyle="60% - Accent6">
  <tableColumns count="1">
    <tableColumn id="1" xr3:uid="{00000000-0010-0000-0900-000001000000}" name="OUTPUT" dataDxfId="143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table" Target="../tables/table40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table" Target="../tables/table45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table" Target="../tables/table27.xml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9.xml"/><Relationship Id="rId5" Type="http://schemas.openxmlformats.org/officeDocument/2006/relationships/table" Target="../tables/table38.xml"/><Relationship Id="rId4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52"/>
  <sheetViews>
    <sheetView workbookViewId="0">
      <selection activeCell="E26" sqref="E26"/>
    </sheetView>
  </sheetViews>
  <sheetFormatPr defaultRowHeight="15" x14ac:dyDescent="0.25"/>
  <cols>
    <col min="3" max="3" width="23.85546875" customWidth="1"/>
    <col min="4" max="4" width="18.7109375" customWidth="1"/>
    <col min="5" max="5" width="18.42578125" customWidth="1"/>
  </cols>
  <sheetData>
    <row r="2" spans="3:5" ht="15.75" thickBot="1" x14ac:dyDescent="0.3"/>
    <row r="3" spans="3:5" ht="16.5" thickTop="1" thickBot="1" x14ac:dyDescent="0.3">
      <c r="C3" s="8"/>
      <c r="D3" s="9" t="s">
        <v>3</v>
      </c>
      <c r="E3" s="8"/>
    </row>
    <row r="4" spans="3:5" ht="15.75" thickTop="1" x14ac:dyDescent="0.25">
      <c r="C4" s="5" t="s">
        <v>2</v>
      </c>
      <c r="D4" s="6" t="s">
        <v>0</v>
      </c>
      <c r="E4" s="7" t="s">
        <v>1</v>
      </c>
    </row>
    <row r="5" spans="3:5" x14ac:dyDescent="0.25">
      <c r="C5" s="4" t="s">
        <v>16</v>
      </c>
      <c r="D5" s="1"/>
      <c r="E5" s="2">
        <v>133207</v>
      </c>
    </row>
    <row r="6" spans="3:5" x14ac:dyDescent="0.25">
      <c r="C6" s="4" t="s">
        <v>22</v>
      </c>
      <c r="D6" s="1"/>
      <c r="E6" s="2">
        <v>36.799999999999997</v>
      </c>
    </row>
    <row r="7" spans="3:5" x14ac:dyDescent="0.25">
      <c r="C7" s="4" t="s">
        <v>17</v>
      </c>
      <c r="D7" s="1"/>
      <c r="E7" s="2">
        <v>16.739999999999998</v>
      </c>
    </row>
    <row r="8" spans="3:5" x14ac:dyDescent="0.25">
      <c r="C8" s="4" t="s">
        <v>18</v>
      </c>
      <c r="D8" s="1"/>
      <c r="E8" s="2">
        <v>40</v>
      </c>
    </row>
    <row r="9" spans="3:5" x14ac:dyDescent="0.25">
      <c r="C9" s="4" t="s">
        <v>19</v>
      </c>
      <c r="D9" s="1"/>
      <c r="E9" s="2">
        <v>52</v>
      </c>
    </row>
    <row r="10" spans="3:5" x14ac:dyDescent="0.25">
      <c r="C10" s="4" t="s">
        <v>20</v>
      </c>
      <c r="D10" s="1"/>
      <c r="E10" s="2">
        <v>85</v>
      </c>
    </row>
    <row r="11" spans="3:5" x14ac:dyDescent="0.25">
      <c r="C11" s="4" t="s">
        <v>21</v>
      </c>
      <c r="D11" s="1"/>
      <c r="E11" s="2">
        <v>60</v>
      </c>
    </row>
    <row r="12" spans="3:5" x14ac:dyDescent="0.25">
      <c r="C12" s="4"/>
      <c r="D12" s="1"/>
      <c r="E12" s="2"/>
    </row>
    <row r="13" spans="3:5" x14ac:dyDescent="0.25">
      <c r="C13" s="4"/>
      <c r="D13" s="1"/>
      <c r="E13" s="2"/>
    </row>
    <row r="14" spans="3:5" x14ac:dyDescent="0.25">
      <c r="C14" s="4"/>
      <c r="D14" s="1"/>
      <c r="E14" s="2"/>
    </row>
    <row r="15" spans="3:5" x14ac:dyDescent="0.25">
      <c r="C15" s="4"/>
      <c r="D15" s="1"/>
      <c r="E15" s="2"/>
    </row>
    <row r="16" spans="3:5" x14ac:dyDescent="0.25">
      <c r="C16" s="4"/>
      <c r="D16" s="1"/>
      <c r="E16" s="2"/>
    </row>
    <row r="17" spans="3:5" x14ac:dyDescent="0.25">
      <c r="C17" s="4"/>
      <c r="D17" s="1"/>
      <c r="E17" s="2"/>
    </row>
    <row r="18" spans="3:5" ht="15.75" thickBot="1" x14ac:dyDescent="0.3"/>
    <row r="19" spans="3:5" ht="15.75" thickTop="1" x14ac:dyDescent="0.25">
      <c r="D19" s="10" t="s">
        <v>4</v>
      </c>
    </row>
    <row r="20" spans="3:5" x14ac:dyDescent="0.25">
      <c r="C20" s="4" t="s">
        <v>2</v>
      </c>
      <c r="D20" s="1" t="s">
        <v>9</v>
      </c>
    </row>
    <row r="21" spans="3:5" x14ac:dyDescent="0.25">
      <c r="C21" s="4" t="s">
        <v>24</v>
      </c>
      <c r="D21" s="1">
        <v>1550</v>
      </c>
    </row>
    <row r="22" spans="3:5" x14ac:dyDescent="0.25">
      <c r="C22" s="4" t="s">
        <v>5</v>
      </c>
      <c r="D22" s="1">
        <v>2550</v>
      </c>
    </row>
    <row r="23" spans="3:5" x14ac:dyDescent="0.25">
      <c r="C23" s="4" t="s">
        <v>6</v>
      </c>
      <c r="D23" s="1" t="s">
        <v>37</v>
      </c>
    </row>
    <row r="24" spans="3:5" x14ac:dyDescent="0.25">
      <c r="C24" s="4" t="s">
        <v>7</v>
      </c>
      <c r="D24" s="1" t="s">
        <v>26</v>
      </c>
    </row>
    <row r="25" spans="3:5" x14ac:dyDescent="0.25">
      <c r="C25" s="4" t="s">
        <v>8</v>
      </c>
      <c r="D25" s="1" t="s">
        <v>26</v>
      </c>
    </row>
    <row r="26" spans="3:5" x14ac:dyDescent="0.25">
      <c r="C26" s="4" t="s">
        <v>10</v>
      </c>
      <c r="D26" s="1">
        <v>500</v>
      </c>
    </row>
    <row r="27" spans="3:5" x14ac:dyDescent="0.25">
      <c r="C27" s="4" t="s">
        <v>11</v>
      </c>
      <c r="D27" s="1">
        <v>600</v>
      </c>
    </row>
    <row r="28" spans="3:5" x14ac:dyDescent="0.25">
      <c r="C28" s="4" t="s">
        <v>12</v>
      </c>
      <c r="D28" s="1">
        <v>800</v>
      </c>
    </row>
    <row r="29" spans="3:5" x14ac:dyDescent="0.25">
      <c r="C29" s="4" t="s">
        <v>13</v>
      </c>
      <c r="D29" s="1">
        <v>900</v>
      </c>
    </row>
    <row r="30" spans="3:5" x14ac:dyDescent="0.25">
      <c r="C30" s="4" t="s">
        <v>14</v>
      </c>
      <c r="D30" s="1" t="s">
        <v>27</v>
      </c>
    </row>
    <row r="31" spans="3:5" x14ac:dyDescent="0.25">
      <c r="C31" s="4" t="s">
        <v>15</v>
      </c>
      <c r="D31" s="1" t="s">
        <v>28</v>
      </c>
    </row>
    <row r="32" spans="3:5" x14ac:dyDescent="0.25">
      <c r="C32" s="4" t="s">
        <v>29</v>
      </c>
      <c r="D32" s="1"/>
    </row>
    <row r="33" spans="3:4" x14ac:dyDescent="0.25">
      <c r="C33" s="4" t="s">
        <v>6</v>
      </c>
      <c r="D33" s="1"/>
    </row>
    <row r="34" spans="3:4" x14ac:dyDescent="0.25">
      <c r="C34" s="4" t="s">
        <v>35</v>
      </c>
      <c r="D34" s="1"/>
    </row>
    <row r="35" spans="3:4" x14ac:dyDescent="0.25">
      <c r="C35" s="4" t="s">
        <v>31</v>
      </c>
      <c r="D35" s="1"/>
    </row>
    <row r="36" spans="3:4" x14ac:dyDescent="0.25">
      <c r="C36" s="4" t="s">
        <v>32</v>
      </c>
      <c r="D36" s="1"/>
    </row>
    <row r="37" spans="3:4" x14ac:dyDescent="0.25">
      <c r="C37" s="4" t="s">
        <v>33</v>
      </c>
      <c r="D37" s="1"/>
    </row>
    <row r="38" spans="3:4" x14ac:dyDescent="0.25">
      <c r="C38" s="4"/>
      <c r="D38" s="1"/>
    </row>
    <row r="39" spans="3:4" x14ac:dyDescent="0.25">
      <c r="C39" s="4"/>
      <c r="D39" s="1"/>
    </row>
    <row r="40" spans="3:4" x14ac:dyDescent="0.25">
      <c r="C40" s="4"/>
      <c r="D40" s="11" t="s">
        <v>23</v>
      </c>
    </row>
    <row r="41" spans="3:4" x14ac:dyDescent="0.25">
      <c r="C41" s="4"/>
      <c r="D41" s="11"/>
    </row>
    <row r="42" spans="3:4" x14ac:dyDescent="0.25">
      <c r="C42" s="4"/>
      <c r="D42" s="11"/>
    </row>
    <row r="43" spans="3:4" x14ac:dyDescent="0.25">
      <c r="C43" s="4"/>
      <c r="D43" s="11"/>
    </row>
    <row r="44" spans="3:4" x14ac:dyDescent="0.25">
      <c r="C44" s="4"/>
      <c r="D44" s="11"/>
    </row>
    <row r="45" spans="3:4" x14ac:dyDescent="0.25">
      <c r="C45" s="4"/>
      <c r="D45" s="11"/>
    </row>
    <row r="46" spans="3:4" x14ac:dyDescent="0.25">
      <c r="C46" s="4"/>
      <c r="D46" s="11"/>
    </row>
    <row r="47" spans="3:4" x14ac:dyDescent="0.25">
      <c r="C47" s="4"/>
      <c r="D47" s="11"/>
    </row>
    <row r="48" spans="3:4" x14ac:dyDescent="0.25">
      <c r="C48" s="4"/>
      <c r="D48" s="11"/>
    </row>
    <row r="49" spans="3:4" x14ac:dyDescent="0.25">
      <c r="C49" s="3"/>
      <c r="D49" s="11"/>
    </row>
    <row r="50" spans="3:4" x14ac:dyDescent="0.25">
      <c r="C50" s="3"/>
      <c r="D50" s="11"/>
    </row>
    <row r="51" spans="3:4" x14ac:dyDescent="0.25">
      <c r="C51" s="3"/>
      <c r="D51" s="11"/>
    </row>
    <row r="52" spans="3:4" x14ac:dyDescent="0.25">
      <c r="C52" s="3"/>
      <c r="D52" s="1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60"/>
  <sheetViews>
    <sheetView workbookViewId="0">
      <selection activeCell="K7" sqref="K7"/>
    </sheetView>
  </sheetViews>
  <sheetFormatPr defaultRowHeight="15" x14ac:dyDescent="0.25"/>
  <cols>
    <col min="2" max="2" width="15.7109375" customWidth="1"/>
    <col min="3" max="3" width="21.5703125" customWidth="1"/>
    <col min="4" max="4" width="18.42578125" customWidth="1"/>
    <col min="5" max="5" width="18.140625" customWidth="1"/>
    <col min="10" max="10" width="21.140625" customWidth="1"/>
    <col min="11" max="11" width="13.85546875" customWidth="1"/>
    <col min="12" max="12" width="13.28515625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3100</v>
      </c>
      <c r="D5" s="2">
        <v>307320</v>
      </c>
      <c r="J5" s="4" t="s">
        <v>80</v>
      </c>
      <c r="K5" s="19">
        <f t="shared" ref="K5" si="0">(C6/D6)-1</f>
        <v>91.877225866916589</v>
      </c>
      <c r="L5" s="18">
        <f>Table550[[#This Row],[OUTPUT]]</f>
        <v>91.877225866916589</v>
      </c>
    </row>
    <row r="6" spans="2:12" x14ac:dyDescent="0.25">
      <c r="B6" s="4" t="s">
        <v>22</v>
      </c>
      <c r="C6" s="1">
        <v>991</v>
      </c>
      <c r="D6" s="2">
        <v>10.67</v>
      </c>
      <c r="J6" s="4" t="s">
        <v>81</v>
      </c>
      <c r="K6" s="19">
        <v>0.95</v>
      </c>
      <c r="L6" s="18">
        <f>0.048*((Table181417[[#This Row],[INLET]]-D6)/D6)^0.5</f>
        <v>0.45962295781999568</v>
      </c>
    </row>
    <row r="7" spans="2:12" x14ac:dyDescent="0.25">
      <c r="B7" s="4" t="s">
        <v>17</v>
      </c>
      <c r="C7" s="1"/>
      <c r="D7" s="2"/>
      <c r="J7" s="4" t="s">
        <v>82</v>
      </c>
      <c r="K7" s="19">
        <f>K6*0.85</f>
        <v>0.8075</v>
      </c>
      <c r="L7" s="18">
        <f>L6*L11</f>
        <v>0.78135902829399262</v>
      </c>
    </row>
    <row r="8" spans="2:12" x14ac:dyDescent="0.25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8.0006248047485169</v>
      </c>
      <c r="L8" s="18">
        <f>Table550[[#This Row],[OUTPUT]]</f>
        <v>8.0006248047485169</v>
      </c>
    </row>
    <row r="9" spans="2:12" x14ac:dyDescent="0.25">
      <c r="B9" s="4" t="s">
        <v>19</v>
      </c>
      <c r="C9" s="1">
        <v>24</v>
      </c>
      <c r="D9" s="2">
        <v>24</v>
      </c>
      <c r="J9" s="4" t="s">
        <v>84</v>
      </c>
      <c r="K9" s="19">
        <f>(4*K8/K7/3.14)^0.5</f>
        <v>3.552678095428623</v>
      </c>
      <c r="L9" s="18">
        <f>(4*L8/L7/3.14)^0.5</f>
        <v>3.6116179803472157</v>
      </c>
    </row>
    <row r="10" spans="2:12" x14ac:dyDescent="0.25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3.7026780954286229</v>
      </c>
      <c r="L10" s="18">
        <f>L9+0.15</f>
        <v>3.7616179803472156</v>
      </c>
    </row>
    <row r="11" spans="2:12" x14ac:dyDescent="0.25">
      <c r="B11" s="4" t="s">
        <v>21</v>
      </c>
      <c r="C11" s="1">
        <v>57</v>
      </c>
      <c r="D11" s="2">
        <v>57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30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0.45603673118774801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10.776460073599219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17.545722063666194</v>
      </c>
      <c r="L16" s="18"/>
    </row>
    <row r="17" spans="2:12" x14ac:dyDescent="0.25">
      <c r="B17" s="4"/>
      <c r="C17" s="1"/>
      <c r="D17" s="2"/>
      <c r="J17" s="4" t="s">
        <v>93</v>
      </c>
      <c r="K17" s="19">
        <f>K15*(K16^2)</f>
        <v>3317.5586955814665</v>
      </c>
      <c r="L17" s="18"/>
    </row>
    <row r="18" spans="2:12" ht="15.75" thickBot="1" x14ac:dyDescent="0.3">
      <c r="J18" s="4" t="s">
        <v>94</v>
      </c>
      <c r="K18" s="19">
        <f>D6*((D5/D6/3600/K14)^2)</f>
        <v>3284.0713191124446</v>
      </c>
      <c r="L18" s="18"/>
    </row>
    <row r="19" spans="2:12" ht="15.75" thickTop="1" x14ac:dyDescent="0.25">
      <c r="D19" s="10" t="s">
        <v>4</v>
      </c>
      <c r="J19" s="22" t="s">
        <v>88</v>
      </c>
      <c r="K19" s="1" t="s">
        <v>97</v>
      </c>
      <c r="L19" s="1"/>
    </row>
    <row r="20" spans="2:12" x14ac:dyDescent="0.25">
      <c r="C20" s="4" t="s">
        <v>2</v>
      </c>
      <c r="D20" s="1" t="s">
        <v>9</v>
      </c>
      <c r="J20" s="4" t="s">
        <v>89</v>
      </c>
      <c r="K20" s="19">
        <v>28</v>
      </c>
      <c r="L20" s="18"/>
    </row>
    <row r="21" spans="2:12" x14ac:dyDescent="0.25">
      <c r="C21" s="4" t="s">
        <v>24</v>
      </c>
      <c r="D21" s="1">
        <v>2400</v>
      </c>
      <c r="J21" s="4" t="s">
        <v>90</v>
      </c>
      <c r="K21" s="20">
        <f>PI()/4*(K20*25.4/1000)^2</f>
        <v>0.39725866361243817</v>
      </c>
      <c r="L21" s="18"/>
    </row>
    <row r="22" spans="2:12" x14ac:dyDescent="0.25">
      <c r="C22" s="4" t="s">
        <v>5</v>
      </c>
      <c r="D22" s="1">
        <v>6500</v>
      </c>
      <c r="J22" s="4" t="s">
        <v>82</v>
      </c>
      <c r="K22" s="20">
        <f>D5/D6/3600/K21</f>
        <v>20.13958545798727</v>
      </c>
      <c r="L22" s="18"/>
    </row>
    <row r="23" spans="2:12" x14ac:dyDescent="0.25">
      <c r="C23" s="4" t="s">
        <v>6</v>
      </c>
      <c r="D23" s="1" t="s">
        <v>37</v>
      </c>
      <c r="J23" s="4"/>
      <c r="K23" s="21"/>
      <c r="L23" s="18"/>
    </row>
    <row r="24" spans="2:12" x14ac:dyDescent="0.25">
      <c r="C24" s="4" t="s">
        <v>7</v>
      </c>
      <c r="D24" s="1" t="s">
        <v>26</v>
      </c>
      <c r="J24" s="4"/>
      <c r="K24" s="21"/>
      <c r="L24" s="23"/>
    </row>
    <row r="25" spans="2:12" x14ac:dyDescent="0.25">
      <c r="C25" s="4" t="s">
        <v>8</v>
      </c>
      <c r="D25" s="1" t="s">
        <v>26</v>
      </c>
      <c r="J25" s="4" t="s">
        <v>94</v>
      </c>
      <c r="K25" s="21">
        <f>D6*((D5/D6/3600/K21)^2)</f>
        <v>4327.7829688168367</v>
      </c>
      <c r="L25" s="23"/>
    </row>
    <row r="26" spans="2:12" x14ac:dyDescent="0.25">
      <c r="C26" s="4" t="s">
        <v>10</v>
      </c>
      <c r="D26" s="1">
        <v>150</v>
      </c>
      <c r="J26" s="22" t="s">
        <v>88</v>
      </c>
      <c r="K26" s="24" t="s">
        <v>0</v>
      </c>
      <c r="L26" s="24"/>
    </row>
    <row r="27" spans="2:12" x14ac:dyDescent="0.25">
      <c r="C27" s="4" t="s">
        <v>11</v>
      </c>
      <c r="D27" s="1"/>
      <c r="J27" s="4" t="s">
        <v>89</v>
      </c>
      <c r="K27" s="21">
        <v>8</v>
      </c>
      <c r="L27" s="23"/>
    </row>
    <row r="28" spans="2:12" x14ac:dyDescent="0.25">
      <c r="C28" s="4" t="s">
        <v>12</v>
      </c>
      <c r="D28" s="1"/>
      <c r="J28" s="4" t="s">
        <v>90</v>
      </c>
      <c r="K28" s="21">
        <f>PI()/4*(K27*25.4/1000)^2</f>
        <v>3.2429278662239852E-2</v>
      </c>
      <c r="L28" s="23"/>
    </row>
    <row r="29" spans="2:12" x14ac:dyDescent="0.25">
      <c r="C29" s="4" t="s">
        <v>13</v>
      </c>
      <c r="D29" s="1">
        <v>800</v>
      </c>
      <c r="J29" s="4" t="s">
        <v>98</v>
      </c>
      <c r="K29" s="21">
        <f>C5/C6/3600/K28</f>
        <v>2.6794659961830759E-2</v>
      </c>
      <c r="L29" s="23"/>
    </row>
    <row r="30" spans="2:12" x14ac:dyDescent="0.25">
      <c r="C30" s="4" t="s">
        <v>15</v>
      </c>
      <c r="D30" s="1" t="s">
        <v>59</v>
      </c>
      <c r="J30" s="22" t="s">
        <v>99</v>
      </c>
      <c r="K30" s="24"/>
      <c r="L30" s="24"/>
    </row>
    <row r="31" spans="2:12" x14ac:dyDescent="0.25">
      <c r="C31" s="4" t="s">
        <v>14</v>
      </c>
      <c r="D31" s="1" t="s">
        <v>46</v>
      </c>
      <c r="J31" s="4" t="s">
        <v>72</v>
      </c>
      <c r="K31" s="21">
        <v>150</v>
      </c>
      <c r="L31" s="23"/>
    </row>
    <row r="32" spans="2:12" x14ac:dyDescent="0.25">
      <c r="C32" s="4" t="s">
        <v>15</v>
      </c>
      <c r="D32" s="1" t="s">
        <v>28</v>
      </c>
      <c r="J32" s="4" t="s">
        <v>71</v>
      </c>
      <c r="K32" s="21">
        <f>ROUNDUP(MAX(150,2*C5/C6/60/(PI()/4*K9^2)*1000),0)</f>
        <v>150</v>
      </c>
      <c r="L32" s="23"/>
    </row>
    <row r="33" spans="3:12" x14ac:dyDescent="0.25">
      <c r="C33" s="4" t="s">
        <v>60</v>
      </c>
      <c r="D33" s="1" t="s">
        <v>61</v>
      </c>
      <c r="J33" s="4" t="s">
        <v>70</v>
      </c>
      <c r="K33" s="21">
        <f>ROUNDUP(MAX(150,4*C5/C6/60/(PI()/4*K9^2)*1000),0)</f>
        <v>150</v>
      </c>
      <c r="L33" s="23"/>
    </row>
    <row r="34" spans="3:12" x14ac:dyDescent="0.25">
      <c r="C34" s="4" t="s">
        <v>62</v>
      </c>
      <c r="D34" s="14">
        <v>0.98</v>
      </c>
      <c r="J34" s="4" t="s">
        <v>69</v>
      </c>
      <c r="K34" s="21">
        <f>ROUNDUP(MAX(200,2*C5/C6/60/(PI()/4*K9^2)*1000),0)</f>
        <v>200</v>
      </c>
      <c r="L34" s="23"/>
    </row>
    <row r="35" spans="3:12" x14ac:dyDescent="0.25">
      <c r="C35" s="4" t="s">
        <v>63</v>
      </c>
      <c r="D35" s="1">
        <v>50</v>
      </c>
      <c r="J35" s="4" t="s">
        <v>68</v>
      </c>
      <c r="K35" s="21">
        <f>400+K13*25.4/2</f>
        <v>781</v>
      </c>
      <c r="L35" s="23"/>
    </row>
    <row r="36" spans="3:12" x14ac:dyDescent="0.25">
      <c r="C36" s="4" t="s">
        <v>31</v>
      </c>
      <c r="D36" s="1"/>
      <c r="J36" s="4" t="s">
        <v>67</v>
      </c>
      <c r="K36" s="21">
        <f>MAX(0.5*K10*1000,600)</f>
        <v>1851.3390477143114</v>
      </c>
      <c r="L36" s="23"/>
    </row>
    <row r="37" spans="3:12" x14ac:dyDescent="0.25">
      <c r="C37" s="4" t="s">
        <v>32</v>
      </c>
      <c r="D37" s="1"/>
      <c r="J37" s="4" t="s">
        <v>66</v>
      </c>
      <c r="K37" s="21">
        <v>150</v>
      </c>
      <c r="L37" s="23"/>
    </row>
    <row r="38" spans="3:12" x14ac:dyDescent="0.25">
      <c r="C38" s="4" t="s">
        <v>33</v>
      </c>
      <c r="D38" s="1">
        <v>100</v>
      </c>
      <c r="J38" s="4" t="s">
        <v>65</v>
      </c>
      <c r="K38" s="21">
        <f>MAX(0.15*K10*1000,400)</f>
        <v>555.40171431429337</v>
      </c>
      <c r="L38" s="23"/>
    </row>
    <row r="39" spans="3:12" x14ac:dyDescent="0.25">
      <c r="C39" s="4"/>
      <c r="D39" s="1"/>
      <c r="J39" s="4" t="s">
        <v>100</v>
      </c>
      <c r="K39" s="21">
        <f>SUM(K31:K38)</f>
        <v>3987.7407620286044</v>
      </c>
      <c r="L39" s="23"/>
    </row>
    <row r="40" spans="3:12" x14ac:dyDescent="0.25">
      <c r="C40" s="4"/>
      <c r="D40" s="1"/>
      <c r="J40" s="4" t="s">
        <v>64</v>
      </c>
      <c r="K40" s="21">
        <f>K39*0.001/K10</f>
        <v>1.0769882391212793</v>
      </c>
      <c r="L40" s="23"/>
    </row>
    <row r="41" spans="3:12" x14ac:dyDescent="0.25">
      <c r="C41" s="4"/>
      <c r="D41" s="1"/>
      <c r="J41" s="22" t="s">
        <v>99</v>
      </c>
      <c r="K41" s="17"/>
      <c r="L41" s="17"/>
    </row>
    <row r="42" spans="3:12" x14ac:dyDescent="0.25">
      <c r="C42" s="4"/>
      <c r="D42" s="1"/>
      <c r="J42" s="25" t="s">
        <v>101</v>
      </c>
    </row>
    <row r="43" spans="3:12" x14ac:dyDescent="0.25">
      <c r="C43" s="4"/>
      <c r="D43" s="14"/>
      <c r="J43" s="25" t="s">
        <v>102</v>
      </c>
    </row>
    <row r="44" spans="3:12" x14ac:dyDescent="0.25">
      <c r="C44" s="4"/>
      <c r="D44" s="1"/>
      <c r="J44" s="25" t="s">
        <v>103</v>
      </c>
    </row>
    <row r="45" spans="3:12" x14ac:dyDescent="0.25">
      <c r="C45" s="4"/>
      <c r="D45" s="1"/>
      <c r="J45" s="25" t="s">
        <v>104</v>
      </c>
    </row>
    <row r="46" spans="3:12" x14ac:dyDescent="0.25">
      <c r="C46" s="4"/>
      <c r="D46" s="1"/>
      <c r="J46" s="25" t="s">
        <v>105</v>
      </c>
    </row>
    <row r="47" spans="3:12" x14ac:dyDescent="0.25">
      <c r="C47" s="4"/>
      <c r="D47" s="1"/>
      <c r="J47" s="25" t="s">
        <v>106</v>
      </c>
    </row>
    <row r="48" spans="3:12" x14ac:dyDescent="0.25">
      <c r="C48" s="4"/>
      <c r="D48" s="11" t="s">
        <v>23</v>
      </c>
      <c r="J48" s="25" t="s">
        <v>107</v>
      </c>
    </row>
    <row r="49" spans="3:4" x14ac:dyDescent="0.25">
      <c r="C49" s="4"/>
      <c r="D49" s="11"/>
    </row>
    <row r="50" spans="3:4" x14ac:dyDescent="0.25">
      <c r="C50" s="3"/>
      <c r="D50" s="11"/>
    </row>
    <row r="51" spans="3:4" x14ac:dyDescent="0.25">
      <c r="C51" s="3"/>
      <c r="D51" s="11"/>
    </row>
    <row r="52" spans="3:4" x14ac:dyDescent="0.25">
      <c r="C52" s="3"/>
      <c r="D52" s="11"/>
    </row>
    <row r="53" spans="3:4" x14ac:dyDescent="0.25">
      <c r="C53" s="3"/>
      <c r="D53" s="11"/>
    </row>
    <row r="54" spans="3:4" x14ac:dyDescent="0.25">
      <c r="D54" s="11"/>
    </row>
    <row r="55" spans="3:4" x14ac:dyDescent="0.25">
      <c r="D55" s="11"/>
    </row>
    <row r="56" spans="3:4" x14ac:dyDescent="0.25">
      <c r="D56" s="11"/>
    </row>
    <row r="57" spans="3:4" x14ac:dyDescent="0.25">
      <c r="D57" s="11"/>
    </row>
    <row r="58" spans="3:4" x14ac:dyDescent="0.25">
      <c r="D58" s="11"/>
    </row>
    <row r="59" spans="3:4" x14ac:dyDescent="0.25">
      <c r="D59" s="11"/>
    </row>
    <row r="60" spans="3:4" x14ac:dyDescent="0.25">
      <c r="D60" s="11"/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60"/>
  <sheetViews>
    <sheetView workbookViewId="0">
      <selection activeCell="K7" sqref="K7"/>
    </sheetView>
  </sheetViews>
  <sheetFormatPr defaultRowHeight="15" x14ac:dyDescent="0.25"/>
  <cols>
    <col min="2" max="2" width="24" customWidth="1"/>
    <col min="3" max="3" width="27.85546875" customWidth="1"/>
    <col min="4" max="4" width="22.42578125" customWidth="1"/>
    <col min="5" max="5" width="18.85546875" customWidth="1"/>
    <col min="10" max="10" width="18.140625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3100</v>
      </c>
      <c r="D5" s="2">
        <v>307320</v>
      </c>
      <c r="J5" s="4" t="s">
        <v>80</v>
      </c>
      <c r="K5" s="19">
        <f t="shared" ref="K5" si="0">(C6/D6)-1</f>
        <v>48.10891089108911</v>
      </c>
      <c r="L5" s="18">
        <f>Table55052[[#This Row],[OUTPUT]]</f>
        <v>48.10891089108911</v>
      </c>
    </row>
    <row r="6" spans="2:12" x14ac:dyDescent="0.25">
      <c r="B6" s="4" t="s">
        <v>22</v>
      </c>
      <c r="C6" s="1">
        <v>992</v>
      </c>
      <c r="D6" s="2">
        <v>20.2</v>
      </c>
      <c r="J6" s="4" t="s">
        <v>81</v>
      </c>
      <c r="K6" s="19">
        <v>0.25</v>
      </c>
      <c r="L6" s="18">
        <f>0.048*((Table181417[[#This Row],[INLET]]-D6)/D6)^0.5</f>
        <v>0.33241653459966086</v>
      </c>
    </row>
    <row r="7" spans="2:12" x14ac:dyDescent="0.25">
      <c r="B7" s="4" t="s">
        <v>17</v>
      </c>
      <c r="C7" s="1"/>
      <c r="D7" s="2"/>
      <c r="J7" s="4" t="s">
        <v>82</v>
      </c>
      <c r="K7" s="19">
        <f>K6*0.85</f>
        <v>0.21249999999999999</v>
      </c>
      <c r="L7" s="18">
        <f>L6*L11</f>
        <v>0.56510810881942342</v>
      </c>
    </row>
    <row r="8" spans="2:12" x14ac:dyDescent="0.25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4.2260726072607264</v>
      </c>
      <c r="L8" s="18">
        <f>Table55052[[#This Row],[OUTPUT]]</f>
        <v>4.2260726072607264</v>
      </c>
    </row>
    <row r="9" spans="2:12" x14ac:dyDescent="0.25">
      <c r="B9" s="4" t="s">
        <v>19</v>
      </c>
      <c r="C9" s="1">
        <v>24</v>
      </c>
      <c r="D9" s="2">
        <v>24</v>
      </c>
      <c r="J9" s="4" t="s">
        <v>84</v>
      </c>
      <c r="K9" s="19">
        <f>(4*K8/K7/3.14)^0.5</f>
        <v>5.0333158214963323</v>
      </c>
      <c r="L9" s="18">
        <f>(4*L8/L7/3.14)^0.5</f>
        <v>3.0865113563694311</v>
      </c>
    </row>
    <row r="10" spans="2:12" x14ac:dyDescent="0.25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5.1833158214963326</v>
      </c>
      <c r="L10" s="18">
        <f>L9+0.15</f>
        <v>3.236511356369431</v>
      </c>
    </row>
    <row r="11" spans="2:12" x14ac:dyDescent="0.25">
      <c r="B11" s="4" t="s">
        <v>21</v>
      </c>
      <c r="C11" s="1">
        <v>80</v>
      </c>
      <c r="D11" s="2">
        <v>80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30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0.45603673118774801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20.399571381805686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9.2688601021396053</v>
      </c>
      <c r="L16" s="18"/>
    </row>
    <row r="17" spans="2:12" x14ac:dyDescent="0.25">
      <c r="B17" s="4"/>
      <c r="C17" s="1"/>
      <c r="D17" s="2"/>
      <c r="J17" s="4" t="s">
        <v>93</v>
      </c>
      <c r="K17" s="19">
        <f>K15*(K16^2)</f>
        <v>1752.5632355512264</v>
      </c>
      <c r="L17" s="18"/>
    </row>
    <row r="18" spans="2:12" ht="15.75" thickBot="1" x14ac:dyDescent="0.3">
      <c r="J18" s="4" t="s">
        <v>94</v>
      </c>
      <c r="K18" s="19">
        <f>D6*((D5/D6/3600/K14)^2)</f>
        <v>1734.7049987589005</v>
      </c>
      <c r="L18" s="18"/>
    </row>
    <row r="19" spans="2:12" ht="15.75" thickTop="1" x14ac:dyDescent="0.25">
      <c r="D19" s="10" t="s">
        <v>4</v>
      </c>
      <c r="J19" s="22" t="s">
        <v>88</v>
      </c>
      <c r="K19" s="1" t="s">
        <v>97</v>
      </c>
      <c r="L19" s="1"/>
    </row>
    <row r="20" spans="2:12" x14ac:dyDescent="0.25">
      <c r="C20" s="4" t="s">
        <v>2</v>
      </c>
      <c r="D20" s="1" t="s">
        <v>9</v>
      </c>
      <c r="J20" s="4" t="s">
        <v>89</v>
      </c>
      <c r="K20" s="19">
        <v>28</v>
      </c>
      <c r="L20" s="18"/>
    </row>
    <row r="21" spans="2:12" x14ac:dyDescent="0.25">
      <c r="C21" s="4" t="s">
        <v>24</v>
      </c>
      <c r="D21" s="1">
        <v>1700</v>
      </c>
      <c r="J21" s="4" t="s">
        <v>90</v>
      </c>
      <c r="K21" s="20">
        <f>PI()/4*(K20*25.4/1000)^2</f>
        <v>0.39725866361243817</v>
      </c>
      <c r="L21" s="18"/>
    </row>
    <row r="22" spans="2:12" x14ac:dyDescent="0.25">
      <c r="C22" s="4" t="s">
        <v>5</v>
      </c>
      <c r="D22" s="1">
        <v>3800</v>
      </c>
      <c r="J22" s="4" t="s">
        <v>82</v>
      </c>
      <c r="K22" s="20">
        <f>D5/D6/3600/K21</f>
        <v>10.638087962214069</v>
      </c>
      <c r="L22" s="18"/>
    </row>
    <row r="23" spans="2:12" x14ac:dyDescent="0.25">
      <c r="C23" s="4" t="s">
        <v>6</v>
      </c>
      <c r="D23" s="1" t="s">
        <v>37</v>
      </c>
      <c r="J23" s="4"/>
      <c r="K23" s="21"/>
      <c r="L23" s="18"/>
    </row>
    <row r="24" spans="2:12" x14ac:dyDescent="0.25">
      <c r="C24" s="4" t="s">
        <v>7</v>
      </c>
      <c r="D24" s="1" t="s">
        <v>26</v>
      </c>
      <c r="J24" s="4"/>
      <c r="K24" s="21"/>
      <c r="L24" s="23"/>
    </row>
    <row r="25" spans="2:12" x14ac:dyDescent="0.25">
      <c r="C25" s="4" t="s">
        <v>8</v>
      </c>
      <c r="D25" s="1" t="s">
        <v>26</v>
      </c>
      <c r="J25" s="4" t="s">
        <v>94</v>
      </c>
      <c r="K25" s="21">
        <f>D6*((D5/D6/3600/K21)^2)</f>
        <v>2286.0120929344384</v>
      </c>
      <c r="L25" s="23"/>
    </row>
    <row r="26" spans="2:12" x14ac:dyDescent="0.25">
      <c r="C26" s="4" t="s">
        <v>10</v>
      </c>
      <c r="D26" s="1">
        <v>150</v>
      </c>
      <c r="J26" s="22" t="s">
        <v>88</v>
      </c>
      <c r="K26" s="24" t="s">
        <v>0</v>
      </c>
      <c r="L26" s="24"/>
    </row>
    <row r="27" spans="2:12" x14ac:dyDescent="0.25">
      <c r="C27" s="4" t="s">
        <v>11</v>
      </c>
      <c r="D27" s="1"/>
      <c r="J27" s="4" t="s">
        <v>89</v>
      </c>
      <c r="K27" s="21">
        <v>8</v>
      </c>
      <c r="L27" s="23"/>
    </row>
    <row r="28" spans="2:12" x14ac:dyDescent="0.25">
      <c r="C28" s="4" t="s">
        <v>12</v>
      </c>
      <c r="D28" s="1"/>
      <c r="J28" s="4" t="s">
        <v>90</v>
      </c>
      <c r="K28" s="21">
        <f>PI()/4*(K27*25.4/1000)^2</f>
        <v>3.2429278662239852E-2</v>
      </c>
      <c r="L28" s="23"/>
    </row>
    <row r="29" spans="2:12" x14ac:dyDescent="0.25">
      <c r="C29" s="4" t="s">
        <v>13</v>
      </c>
      <c r="D29" s="1">
        <v>800</v>
      </c>
      <c r="J29" s="4" t="s">
        <v>98</v>
      </c>
      <c r="K29" s="21">
        <f>C5/C6/3600/K28</f>
        <v>2.6767649215901489E-2</v>
      </c>
      <c r="L29" s="23"/>
    </row>
    <row r="30" spans="2:12" x14ac:dyDescent="0.25">
      <c r="C30" s="4" t="s">
        <v>15</v>
      </c>
      <c r="D30" s="1" t="s">
        <v>59</v>
      </c>
      <c r="J30" s="22" t="s">
        <v>99</v>
      </c>
      <c r="K30" s="24"/>
      <c r="L30" s="24"/>
    </row>
    <row r="31" spans="2:12" x14ac:dyDescent="0.25">
      <c r="C31" s="4" t="s">
        <v>14</v>
      </c>
      <c r="D31" s="1"/>
      <c r="J31" s="4" t="s">
        <v>72</v>
      </c>
      <c r="K31" s="21">
        <v>150</v>
      </c>
      <c r="L31" s="23"/>
    </row>
    <row r="32" spans="2:12" x14ac:dyDescent="0.25">
      <c r="C32" s="4" t="s">
        <v>15</v>
      </c>
      <c r="D32" s="1" t="s">
        <v>28</v>
      </c>
      <c r="J32" s="4" t="s">
        <v>71</v>
      </c>
      <c r="K32" s="21">
        <f>ROUNDUP(MAX(150,2*C5/C6/60/(PI()/4*K9^2)*1000),0)</f>
        <v>150</v>
      </c>
      <c r="L32" s="23"/>
    </row>
    <row r="33" spans="3:12" x14ac:dyDescent="0.25">
      <c r="C33" s="4" t="s">
        <v>60</v>
      </c>
      <c r="D33" s="1" t="s">
        <v>61</v>
      </c>
      <c r="J33" s="4" t="s">
        <v>70</v>
      </c>
      <c r="K33" s="21">
        <f>ROUNDUP(MAX(150,4*C5/C6/60/(PI()/4*K9^2)*1000),0)</f>
        <v>150</v>
      </c>
      <c r="L33" s="23"/>
    </row>
    <row r="34" spans="3:12" x14ac:dyDescent="0.25">
      <c r="C34" s="4" t="s">
        <v>62</v>
      </c>
      <c r="D34" s="14">
        <v>0.98</v>
      </c>
      <c r="J34" s="4" t="s">
        <v>69</v>
      </c>
      <c r="K34" s="21">
        <f>ROUNDUP(MAX(200,2*C5/C6/60/(PI()/4*K9^2)*1000),0)</f>
        <v>200</v>
      </c>
      <c r="L34" s="23"/>
    </row>
    <row r="35" spans="3:12" x14ac:dyDescent="0.25">
      <c r="C35" s="4" t="s">
        <v>63</v>
      </c>
      <c r="D35" s="1">
        <v>50</v>
      </c>
      <c r="J35" s="4" t="s">
        <v>68</v>
      </c>
      <c r="K35" s="21">
        <f>400+K13*25.4/2</f>
        <v>781</v>
      </c>
      <c r="L35" s="23"/>
    </row>
    <row r="36" spans="3:12" x14ac:dyDescent="0.25">
      <c r="C36" s="4" t="s">
        <v>31</v>
      </c>
      <c r="D36" s="1"/>
      <c r="J36" s="4" t="s">
        <v>67</v>
      </c>
      <c r="K36" s="21">
        <f>MAX(0.5*K10*1000,600)</f>
        <v>2591.6579107481662</v>
      </c>
      <c r="L36" s="23"/>
    </row>
    <row r="37" spans="3:12" x14ac:dyDescent="0.25">
      <c r="C37" s="4" t="s">
        <v>32</v>
      </c>
      <c r="D37" s="1"/>
      <c r="J37" s="4" t="s">
        <v>66</v>
      </c>
      <c r="K37" s="21">
        <v>150</v>
      </c>
      <c r="L37" s="23"/>
    </row>
    <row r="38" spans="3:12" x14ac:dyDescent="0.25">
      <c r="C38" s="4" t="s">
        <v>33</v>
      </c>
      <c r="D38" s="1">
        <v>100</v>
      </c>
      <c r="J38" s="4" t="s">
        <v>65</v>
      </c>
      <c r="K38" s="21">
        <f>MAX(0.15*K10*1000,400)</f>
        <v>777.49737322444992</v>
      </c>
      <c r="L38" s="23"/>
    </row>
    <row r="39" spans="3:12" x14ac:dyDescent="0.25">
      <c r="C39" s="4"/>
      <c r="D39" s="1"/>
      <c r="J39" s="4" t="s">
        <v>100</v>
      </c>
      <c r="K39" s="21">
        <f>SUM(K31:K38)</f>
        <v>4950.1552839726164</v>
      </c>
      <c r="L39" s="23"/>
    </row>
    <row r="40" spans="3:12" x14ac:dyDescent="0.25">
      <c r="C40" s="4"/>
      <c r="D40" s="1"/>
      <c r="J40" s="4" t="s">
        <v>64</v>
      </c>
      <c r="K40" s="21">
        <f>K39*0.001/K10</f>
        <v>0.95501710766749948</v>
      </c>
      <c r="L40" s="23"/>
    </row>
    <row r="41" spans="3:12" x14ac:dyDescent="0.25">
      <c r="C41" s="4"/>
      <c r="D41" s="1"/>
      <c r="J41" s="22" t="s">
        <v>99</v>
      </c>
      <c r="K41" s="17"/>
      <c r="L41" s="17"/>
    </row>
    <row r="42" spans="3:12" x14ac:dyDescent="0.25">
      <c r="C42" s="4"/>
      <c r="D42" s="1"/>
      <c r="J42" s="25" t="s">
        <v>101</v>
      </c>
    </row>
    <row r="43" spans="3:12" x14ac:dyDescent="0.25">
      <c r="C43" s="4"/>
      <c r="D43" s="14"/>
      <c r="J43" s="25" t="s">
        <v>102</v>
      </c>
    </row>
    <row r="44" spans="3:12" x14ac:dyDescent="0.25">
      <c r="C44" s="4"/>
      <c r="D44" s="1"/>
      <c r="J44" s="25" t="s">
        <v>103</v>
      </c>
    </row>
    <row r="45" spans="3:12" x14ac:dyDescent="0.25">
      <c r="C45" s="4"/>
      <c r="D45" s="1"/>
      <c r="J45" s="25" t="s">
        <v>104</v>
      </c>
    </row>
    <row r="46" spans="3:12" x14ac:dyDescent="0.25">
      <c r="C46" s="4"/>
      <c r="D46" s="1"/>
      <c r="J46" s="25" t="s">
        <v>105</v>
      </c>
    </row>
    <row r="47" spans="3:12" x14ac:dyDescent="0.25">
      <c r="C47" s="4"/>
      <c r="D47" s="1"/>
      <c r="J47" s="25" t="s">
        <v>106</v>
      </c>
    </row>
    <row r="48" spans="3:12" x14ac:dyDescent="0.25">
      <c r="C48" s="4"/>
      <c r="D48" s="11" t="s">
        <v>23</v>
      </c>
      <c r="J48" s="25" t="s">
        <v>107</v>
      </c>
    </row>
    <row r="49" spans="3:4" x14ac:dyDescent="0.25">
      <c r="C49" s="4"/>
      <c r="D49" s="11"/>
    </row>
    <row r="50" spans="3:4" x14ac:dyDescent="0.25">
      <c r="C50" s="3"/>
      <c r="D50" s="11"/>
    </row>
    <row r="51" spans="3:4" x14ac:dyDescent="0.25">
      <c r="C51" s="3"/>
      <c r="D51" s="11"/>
    </row>
    <row r="52" spans="3:4" x14ac:dyDescent="0.25">
      <c r="C52" s="3"/>
      <c r="D52" s="11"/>
    </row>
    <row r="53" spans="3:4" x14ac:dyDescent="0.25">
      <c r="C53" s="3"/>
      <c r="D53" s="11"/>
    </row>
    <row r="54" spans="3:4" x14ac:dyDescent="0.25">
      <c r="D54" s="11"/>
    </row>
    <row r="55" spans="3:4" x14ac:dyDescent="0.25">
      <c r="D55" s="11"/>
    </row>
    <row r="56" spans="3:4" x14ac:dyDescent="0.25">
      <c r="D56" s="11"/>
    </row>
    <row r="57" spans="3:4" x14ac:dyDescent="0.25">
      <c r="D57" s="11"/>
    </row>
    <row r="58" spans="3:4" x14ac:dyDescent="0.25">
      <c r="D58" s="11"/>
    </row>
    <row r="59" spans="3:4" x14ac:dyDescent="0.25">
      <c r="D59" s="11"/>
    </row>
    <row r="60" spans="3:4" x14ac:dyDescent="0.25">
      <c r="D60" s="11"/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52"/>
  <sheetViews>
    <sheetView workbookViewId="0">
      <selection activeCell="D38" sqref="D38"/>
    </sheetView>
  </sheetViews>
  <sheetFormatPr defaultRowHeight="15" x14ac:dyDescent="0.25"/>
  <cols>
    <col min="3" max="3" width="26.140625" customWidth="1"/>
    <col min="4" max="4" width="18.28515625" customWidth="1"/>
    <col min="5" max="5" width="18.42578125" customWidth="1"/>
  </cols>
  <sheetData>
    <row r="2" spans="3:5" ht="15.75" thickBot="1" x14ac:dyDescent="0.3"/>
    <row r="3" spans="3:5" ht="16.5" thickTop="1" thickBot="1" x14ac:dyDescent="0.3">
      <c r="C3" s="8"/>
      <c r="D3" s="9" t="s">
        <v>3</v>
      </c>
      <c r="E3" s="8"/>
    </row>
    <row r="4" spans="3:5" ht="15.75" thickTop="1" x14ac:dyDescent="0.25">
      <c r="C4" s="5" t="s">
        <v>2</v>
      </c>
      <c r="D4" s="6" t="s">
        <v>0</v>
      </c>
      <c r="E4" s="7" t="s">
        <v>1</v>
      </c>
    </row>
    <row r="5" spans="3:5" x14ac:dyDescent="0.25">
      <c r="C5" s="4" t="s">
        <v>16</v>
      </c>
      <c r="D5" s="1">
        <v>10050</v>
      </c>
      <c r="E5" s="2"/>
    </row>
    <row r="6" spans="3:5" x14ac:dyDescent="0.25">
      <c r="C6" s="4" t="s">
        <v>22</v>
      </c>
      <c r="D6" s="1">
        <v>789</v>
      </c>
      <c r="E6" s="2"/>
    </row>
    <row r="7" spans="3:5" x14ac:dyDescent="0.25">
      <c r="C7" s="4" t="s">
        <v>17</v>
      </c>
      <c r="D7" s="1"/>
      <c r="E7" s="2"/>
    </row>
    <row r="8" spans="3:5" x14ac:dyDescent="0.25">
      <c r="C8" s="4" t="s">
        <v>18</v>
      </c>
      <c r="D8" s="1">
        <v>257</v>
      </c>
      <c r="E8" s="2"/>
    </row>
    <row r="9" spans="3:5" x14ac:dyDescent="0.25">
      <c r="C9" s="4" t="s">
        <v>19</v>
      </c>
      <c r="D9" s="1">
        <v>43.5</v>
      </c>
      <c r="E9" s="2"/>
    </row>
    <row r="10" spans="3:5" x14ac:dyDescent="0.25">
      <c r="C10" s="4" t="s">
        <v>20</v>
      </c>
      <c r="D10" s="1">
        <v>290</v>
      </c>
      <c r="E10" s="2"/>
    </row>
    <row r="11" spans="3:5" x14ac:dyDescent="0.25">
      <c r="C11" s="4" t="s">
        <v>21</v>
      </c>
      <c r="D11" s="1">
        <v>52</v>
      </c>
      <c r="E11" s="2"/>
    </row>
    <row r="12" spans="3:5" x14ac:dyDescent="0.25">
      <c r="C12" s="4"/>
      <c r="D12" s="1" t="s">
        <v>45</v>
      </c>
      <c r="E12" s="2"/>
    </row>
    <row r="13" spans="3:5" x14ac:dyDescent="0.25">
      <c r="C13" s="4"/>
      <c r="D13" s="1"/>
      <c r="E13" s="2"/>
    </row>
    <row r="14" spans="3:5" x14ac:dyDescent="0.25">
      <c r="C14" s="4"/>
      <c r="D14" s="1"/>
      <c r="E14" s="2"/>
    </row>
    <row r="15" spans="3:5" x14ac:dyDescent="0.25">
      <c r="C15" s="4"/>
      <c r="D15" s="1"/>
      <c r="E15" s="2"/>
    </row>
    <row r="16" spans="3:5" x14ac:dyDescent="0.25">
      <c r="C16" s="4"/>
      <c r="D16" s="1"/>
      <c r="E16" s="2"/>
    </row>
    <row r="17" spans="3:5" x14ac:dyDescent="0.25">
      <c r="C17" s="4"/>
      <c r="D17" s="1"/>
      <c r="E17" s="2"/>
    </row>
    <row r="18" spans="3:5" ht="15.75" thickBot="1" x14ac:dyDescent="0.3"/>
    <row r="19" spans="3:5" ht="15.75" thickTop="1" x14ac:dyDescent="0.25">
      <c r="D19" s="10" t="s">
        <v>4</v>
      </c>
    </row>
    <row r="20" spans="3:5" x14ac:dyDescent="0.25">
      <c r="C20" s="4" t="s">
        <v>2</v>
      </c>
      <c r="D20" s="1" t="s">
        <v>9</v>
      </c>
    </row>
    <row r="21" spans="3:5" x14ac:dyDescent="0.25">
      <c r="C21" s="4" t="s">
        <v>24</v>
      </c>
      <c r="D21" s="1">
        <v>700</v>
      </c>
    </row>
    <row r="22" spans="3:5" x14ac:dyDescent="0.25">
      <c r="C22" s="4" t="s">
        <v>5</v>
      </c>
      <c r="D22" s="1">
        <v>3275</v>
      </c>
    </row>
    <row r="23" spans="3:5" x14ac:dyDescent="0.25">
      <c r="C23" s="4" t="s">
        <v>6</v>
      </c>
      <c r="D23" s="1" t="s">
        <v>37</v>
      </c>
    </row>
    <row r="24" spans="3:5" x14ac:dyDescent="0.25">
      <c r="C24" s="4" t="s">
        <v>7</v>
      </c>
      <c r="D24" s="1" t="s">
        <v>26</v>
      </c>
    </row>
    <row r="25" spans="3:5" x14ac:dyDescent="0.25">
      <c r="C25" s="4" t="s">
        <v>8</v>
      </c>
      <c r="D25" s="1" t="s">
        <v>26</v>
      </c>
    </row>
    <row r="26" spans="3:5" x14ac:dyDescent="0.25">
      <c r="C26" s="4" t="s">
        <v>10</v>
      </c>
      <c r="D26" s="1">
        <v>500</v>
      </c>
    </row>
    <row r="27" spans="3:5" x14ac:dyDescent="0.25">
      <c r="C27" s="4" t="s">
        <v>11</v>
      </c>
      <c r="D27" s="1">
        <v>1075</v>
      </c>
    </row>
    <row r="28" spans="3:5" x14ac:dyDescent="0.25">
      <c r="C28" s="4" t="s">
        <v>12</v>
      </c>
      <c r="D28" s="1">
        <v>2200</v>
      </c>
    </row>
    <row r="29" spans="3:5" x14ac:dyDescent="0.25">
      <c r="C29" s="4" t="s">
        <v>13</v>
      </c>
      <c r="D29" s="1">
        <v>2775</v>
      </c>
    </row>
    <row r="30" spans="3:5" x14ac:dyDescent="0.25">
      <c r="C30" s="4" t="s">
        <v>14</v>
      </c>
      <c r="D30" s="1"/>
    </row>
    <row r="31" spans="3:5" x14ac:dyDescent="0.25">
      <c r="C31" s="4" t="s">
        <v>15</v>
      </c>
      <c r="D31" s="1" t="s">
        <v>28</v>
      </c>
    </row>
    <row r="32" spans="3:5" x14ac:dyDescent="0.25">
      <c r="C32" s="4" t="s">
        <v>29</v>
      </c>
      <c r="D32" s="1"/>
    </row>
    <row r="33" spans="3:4" x14ac:dyDescent="0.25">
      <c r="C33" s="4" t="s">
        <v>6</v>
      </c>
      <c r="D33" s="1"/>
    </row>
    <row r="34" spans="3:4" x14ac:dyDescent="0.25">
      <c r="C34" s="4" t="s">
        <v>35</v>
      </c>
      <c r="D34" s="1"/>
    </row>
    <row r="35" spans="3:4" x14ac:dyDescent="0.25">
      <c r="C35" s="4" t="s">
        <v>31</v>
      </c>
      <c r="D35" s="1"/>
    </row>
    <row r="36" spans="3:4" x14ac:dyDescent="0.25">
      <c r="C36" s="4" t="s">
        <v>32</v>
      </c>
      <c r="D36" s="1"/>
    </row>
    <row r="37" spans="3:4" x14ac:dyDescent="0.25">
      <c r="C37" s="4" t="s">
        <v>33</v>
      </c>
      <c r="D37" s="1"/>
    </row>
    <row r="38" spans="3:4" x14ac:dyDescent="0.25">
      <c r="C38" s="4" t="s">
        <v>43</v>
      </c>
      <c r="D38" s="1"/>
    </row>
    <row r="39" spans="3:4" x14ac:dyDescent="0.25">
      <c r="C39" s="4"/>
      <c r="D39" s="1"/>
    </row>
    <row r="40" spans="3:4" x14ac:dyDescent="0.25">
      <c r="C40" s="4"/>
      <c r="D40" s="11" t="s">
        <v>23</v>
      </c>
    </row>
    <row r="41" spans="3:4" x14ac:dyDescent="0.25">
      <c r="C41" s="4"/>
      <c r="D41" s="11"/>
    </row>
    <row r="42" spans="3:4" x14ac:dyDescent="0.25">
      <c r="C42" s="4"/>
      <c r="D42" s="11"/>
    </row>
    <row r="43" spans="3:4" x14ac:dyDescent="0.25">
      <c r="C43" s="4"/>
      <c r="D43" s="11"/>
    </row>
    <row r="44" spans="3:4" x14ac:dyDescent="0.25">
      <c r="C44" s="4"/>
      <c r="D44" s="11"/>
    </row>
    <row r="45" spans="3:4" x14ac:dyDescent="0.25">
      <c r="C45" s="4"/>
      <c r="D45" s="11"/>
    </row>
    <row r="46" spans="3:4" x14ac:dyDescent="0.25">
      <c r="C46" s="4"/>
      <c r="D46" s="11"/>
    </row>
    <row r="47" spans="3:4" x14ac:dyDescent="0.25">
      <c r="C47" s="4"/>
      <c r="D47" s="11"/>
    </row>
    <row r="48" spans="3:4" x14ac:dyDescent="0.25">
      <c r="C48" s="4"/>
      <c r="D48" s="11"/>
    </row>
    <row r="49" spans="3:4" x14ac:dyDescent="0.25">
      <c r="C49" s="3"/>
      <c r="D49" s="11"/>
    </row>
    <row r="50" spans="3:4" x14ac:dyDescent="0.25">
      <c r="C50" s="3"/>
      <c r="D50" s="11"/>
    </row>
    <row r="51" spans="3:4" x14ac:dyDescent="0.25">
      <c r="C51" s="3"/>
      <c r="D51" s="11"/>
    </row>
    <row r="52" spans="3:4" x14ac:dyDescent="0.25">
      <c r="C52" s="3"/>
      <c r="D52" s="1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47"/>
  <sheetViews>
    <sheetView topLeftCell="A10" workbookViewId="0">
      <selection activeCell="C35" sqref="C35"/>
    </sheetView>
  </sheetViews>
  <sheetFormatPr defaultRowHeight="15" x14ac:dyDescent="0.25"/>
  <cols>
    <col min="2" max="2" width="20.85546875" customWidth="1"/>
    <col min="3" max="3" width="16.28515625" customWidth="1"/>
    <col min="4" max="4" width="14.85546875" customWidth="1"/>
    <col min="10" max="10" width="18.42578125" customWidth="1"/>
    <col min="11" max="11" width="14.7109375" customWidth="1"/>
    <col min="12" max="12" width="13" customWidth="1"/>
    <col min="21" max="21" width="13.140625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24317</v>
      </c>
      <c r="D5" s="2">
        <v>440676</v>
      </c>
      <c r="J5" s="4" t="s">
        <v>80</v>
      </c>
      <c r="K5" s="19">
        <f t="shared" ref="K5" si="0">(C6/D6)-1</f>
        <v>91.331288343558285</v>
      </c>
      <c r="L5" s="18">
        <f>Table5122547[[#This Row],[OUTPUT]]</f>
        <v>91.331288343558285</v>
      </c>
    </row>
    <row r="6" spans="2:12" x14ac:dyDescent="0.25">
      <c r="B6" s="4" t="s">
        <v>22</v>
      </c>
      <c r="C6" s="1">
        <v>903</v>
      </c>
      <c r="D6" s="2">
        <v>9.7799999999999994</v>
      </c>
      <c r="J6" s="4" t="s">
        <v>81</v>
      </c>
      <c r="K6" s="19">
        <v>0.95</v>
      </c>
      <c r="L6" s="18">
        <f>0.048*((Table1[[#This Row],[INLET]]-D6)/D6)^0.5</f>
        <v>0.45872354239079371</v>
      </c>
    </row>
    <row r="7" spans="2:12" x14ac:dyDescent="0.25">
      <c r="B7" s="4" t="s">
        <v>17</v>
      </c>
      <c r="C7" s="1"/>
      <c r="D7" s="2">
        <v>13.17</v>
      </c>
      <c r="J7" s="4" t="s">
        <v>82</v>
      </c>
      <c r="K7" s="19">
        <f>K6*0.85</f>
        <v>0.8075</v>
      </c>
      <c r="L7" s="18">
        <f>L6*L11</f>
        <v>0.77983002206434926</v>
      </c>
    </row>
    <row r="8" spans="2:12" x14ac:dyDescent="0.25">
      <c r="B8" s="4" t="s">
        <v>18</v>
      </c>
      <c r="C8" s="1">
        <v>165</v>
      </c>
      <c r="D8" s="2">
        <v>165</v>
      </c>
      <c r="J8" s="4" t="s">
        <v>83</v>
      </c>
      <c r="K8" s="19">
        <f>D5/D6/3600</f>
        <v>12.516359918200411</v>
      </c>
      <c r="L8" s="18">
        <f>Table5122547[[#This Row],[OUTPUT]]</f>
        <v>12.516359918200411</v>
      </c>
    </row>
    <row r="9" spans="2:12" x14ac:dyDescent="0.25">
      <c r="B9" s="4" t="s">
        <v>19</v>
      </c>
      <c r="C9" s="1">
        <v>25.8</v>
      </c>
      <c r="D9" s="2">
        <v>25.8</v>
      </c>
      <c r="J9" s="4" t="s">
        <v>84</v>
      </c>
      <c r="K9" s="19">
        <f>(4*K8/K7/3.14)^0.5</f>
        <v>4.4435792254962303</v>
      </c>
      <c r="L9" s="18">
        <f>(4*L8/L7/3.14)^0.5</f>
        <v>4.5217257467689862</v>
      </c>
    </row>
    <row r="10" spans="2:12" x14ac:dyDescent="0.25">
      <c r="B10" s="4" t="s">
        <v>20</v>
      </c>
      <c r="C10" s="1">
        <v>200</v>
      </c>
      <c r="D10" s="2">
        <v>200</v>
      </c>
      <c r="J10" s="4" t="s">
        <v>85</v>
      </c>
      <c r="K10" s="19">
        <f>K9</f>
        <v>4.4435792254962303</v>
      </c>
      <c r="L10" s="18">
        <f>L9</f>
        <v>4.5217257467689862</v>
      </c>
    </row>
    <row r="11" spans="2:12" x14ac:dyDescent="0.25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36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0.65669289291035704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10.313507665579822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19.07107624575503</v>
      </c>
      <c r="L16" s="18"/>
    </row>
    <row r="17" spans="2:21" x14ac:dyDescent="0.25">
      <c r="B17" s="4"/>
      <c r="C17" s="1"/>
      <c r="D17" s="2"/>
      <c r="J17" s="4" t="s">
        <v>93</v>
      </c>
      <c r="K17" s="19">
        <f>K15*(K16^2)</f>
        <v>3751.084094796237</v>
      </c>
      <c r="L17" s="18"/>
      <c r="M17" t="s">
        <v>95</v>
      </c>
      <c r="N17" s="12" t="s">
        <v>142</v>
      </c>
      <c r="O17" s="12"/>
      <c r="P17" s="12"/>
      <c r="Q17" s="12"/>
      <c r="R17" s="12"/>
      <c r="S17" s="12"/>
      <c r="T17" s="12"/>
      <c r="U17" s="12"/>
    </row>
    <row r="18" spans="2:21" ht="15.75" thickBot="1" x14ac:dyDescent="0.3">
      <c r="J18" s="4" t="s">
        <v>94</v>
      </c>
      <c r="K18" s="19">
        <f>D6*((D5/D6/3600/K14)^2)</f>
        <v>3552.7963075674629</v>
      </c>
      <c r="L18" s="18"/>
      <c r="M18" t="s">
        <v>96</v>
      </c>
    </row>
    <row r="19" spans="2:21" ht="15.75" thickTop="1" x14ac:dyDescent="0.25">
      <c r="C19" s="10" t="s">
        <v>4</v>
      </c>
      <c r="J19" s="22" t="s">
        <v>88</v>
      </c>
      <c r="K19" s="1" t="s">
        <v>97</v>
      </c>
      <c r="L19" s="1"/>
    </row>
    <row r="20" spans="2:21" x14ac:dyDescent="0.25">
      <c r="B20" s="4" t="s">
        <v>2</v>
      </c>
      <c r="C20" s="1" t="s">
        <v>9</v>
      </c>
      <c r="J20" s="4" t="s">
        <v>89</v>
      </c>
      <c r="K20" s="19">
        <v>36</v>
      </c>
      <c r="L20" s="18"/>
    </row>
    <row r="21" spans="2:21" x14ac:dyDescent="0.25">
      <c r="B21" s="4" t="s">
        <v>24</v>
      </c>
      <c r="C21" s="1">
        <v>3750</v>
      </c>
      <c r="J21" s="4" t="s">
        <v>90</v>
      </c>
      <c r="K21" s="20">
        <f>PI()/4*(K20*25.4/1000)^2</f>
        <v>0.65669289291035704</v>
      </c>
      <c r="L21" s="18"/>
    </row>
    <row r="22" spans="2:21" x14ac:dyDescent="0.25">
      <c r="B22" s="4" t="s">
        <v>5</v>
      </c>
      <c r="C22" s="1">
        <v>4850</v>
      </c>
      <c r="J22" s="4" t="s">
        <v>82</v>
      </c>
      <c r="K22" s="20">
        <f>D5/D6/3600/K21</f>
        <v>19.059685361798149</v>
      </c>
      <c r="L22" s="18"/>
    </row>
    <row r="23" spans="2:21" x14ac:dyDescent="0.25">
      <c r="B23" s="4" t="s">
        <v>6</v>
      </c>
      <c r="C23" s="1" t="s">
        <v>25</v>
      </c>
      <c r="J23" s="4"/>
      <c r="K23" s="21"/>
      <c r="L23" s="18"/>
    </row>
    <row r="24" spans="2:21" x14ac:dyDescent="0.25">
      <c r="B24" s="4" t="s">
        <v>7</v>
      </c>
      <c r="C24" s="1" t="s">
        <v>26</v>
      </c>
      <c r="J24" s="4"/>
      <c r="K24" s="21"/>
      <c r="L24" s="23"/>
    </row>
    <row r="25" spans="2:21" x14ac:dyDescent="0.25">
      <c r="B25" s="4" t="s">
        <v>8</v>
      </c>
      <c r="C25" s="1" t="s">
        <v>26</v>
      </c>
      <c r="J25" s="4" t="s">
        <v>94</v>
      </c>
      <c r="K25" s="21">
        <f>D6*((D5/D6/3600/K21)^2)</f>
        <v>3552.7963075674629</v>
      </c>
      <c r="L25" s="23"/>
      <c r="M25" t="s">
        <v>96</v>
      </c>
    </row>
    <row r="26" spans="2:21" x14ac:dyDescent="0.25">
      <c r="B26" s="4" t="s">
        <v>10</v>
      </c>
      <c r="C26" s="1">
        <v>500</v>
      </c>
      <c r="J26" s="22" t="s">
        <v>88</v>
      </c>
      <c r="K26" s="24" t="s">
        <v>0</v>
      </c>
      <c r="L26" s="24"/>
    </row>
    <row r="27" spans="2:21" x14ac:dyDescent="0.25">
      <c r="B27" s="4" t="s">
        <v>11</v>
      </c>
      <c r="C27" s="1">
        <v>600</v>
      </c>
      <c r="J27" s="4" t="s">
        <v>89</v>
      </c>
      <c r="K27" s="21">
        <v>6</v>
      </c>
      <c r="L27" s="23"/>
    </row>
    <row r="28" spans="2:21" x14ac:dyDescent="0.25">
      <c r="B28" s="4" t="s">
        <v>12</v>
      </c>
      <c r="C28" s="1">
        <v>800</v>
      </c>
      <c r="J28" s="4" t="s">
        <v>90</v>
      </c>
      <c r="K28" s="21">
        <f>PI()/4*(K27*25.4/1000)^2</f>
        <v>1.8241469247509915E-2</v>
      </c>
      <c r="L28" s="23"/>
    </row>
    <row r="29" spans="2:21" x14ac:dyDescent="0.25">
      <c r="B29" s="4" t="s">
        <v>13</v>
      </c>
      <c r="C29" s="1">
        <v>900</v>
      </c>
      <c r="J29" s="4" t="s">
        <v>98</v>
      </c>
      <c r="K29" s="21">
        <f>C5/C6/3600/K28</f>
        <v>0.41007182244781004</v>
      </c>
      <c r="L29" s="23"/>
    </row>
    <row r="30" spans="2:21" x14ac:dyDescent="0.25">
      <c r="B30" s="4" t="s">
        <v>14</v>
      </c>
      <c r="C30" s="1" t="s">
        <v>27</v>
      </c>
      <c r="J30" s="22" t="s">
        <v>99</v>
      </c>
      <c r="K30" s="24"/>
      <c r="L30" s="24"/>
    </row>
    <row r="31" spans="2:21" x14ac:dyDescent="0.25">
      <c r="B31" s="4" t="s">
        <v>15</v>
      </c>
      <c r="C31" s="1" t="s">
        <v>28</v>
      </c>
      <c r="J31" s="4" t="s">
        <v>72</v>
      </c>
      <c r="K31" s="21">
        <v>150</v>
      </c>
      <c r="L31" s="23"/>
    </row>
    <row r="32" spans="2:21" x14ac:dyDescent="0.25">
      <c r="B32" s="4" t="s">
        <v>143</v>
      </c>
      <c r="C32" s="1">
        <v>863</v>
      </c>
      <c r="J32" s="4" t="s">
        <v>71</v>
      </c>
      <c r="K32" s="21">
        <f>ROUNDUP(MAX(150,2*C5/C6/60/(PI()/4*K9^2)*1000),0)</f>
        <v>150</v>
      </c>
      <c r="L32" s="23"/>
    </row>
    <row r="33" spans="2:12" x14ac:dyDescent="0.25">
      <c r="B33" s="4" t="s">
        <v>144</v>
      </c>
      <c r="C33" s="1">
        <v>863</v>
      </c>
      <c r="J33" s="4" t="s">
        <v>70</v>
      </c>
      <c r="K33" s="21">
        <f>ROUNDUP(MAX(350,4*C5/C6/60/(PI()/4*K9^2)*1000),0)</f>
        <v>350</v>
      </c>
      <c r="L33" s="23"/>
    </row>
    <row r="34" spans="2:12" x14ac:dyDescent="0.25">
      <c r="B34" s="4" t="s">
        <v>145</v>
      </c>
      <c r="C34" s="1">
        <v>101.6</v>
      </c>
      <c r="J34" s="4" t="s">
        <v>69</v>
      </c>
      <c r="K34" s="21">
        <f>ROUNDUP(MAX(200,2*C5/C6/60/(PI()/4*K9^2)*1000),0)</f>
        <v>200</v>
      </c>
      <c r="L34" s="23"/>
    </row>
    <row r="35" spans="2:12" x14ac:dyDescent="0.25">
      <c r="B35" s="3"/>
      <c r="C35" s="16" t="s">
        <v>73</v>
      </c>
      <c r="J35" s="4" t="s">
        <v>68</v>
      </c>
      <c r="K35" s="21">
        <f>400+K13*25.4/2</f>
        <v>857.2</v>
      </c>
      <c r="L35" s="23"/>
    </row>
    <row r="36" spans="2:12" x14ac:dyDescent="0.25">
      <c r="B36" s="4" t="s">
        <v>64</v>
      </c>
      <c r="C36" s="11">
        <f>C22/C21</f>
        <v>1.2933333333333332</v>
      </c>
      <c r="J36" s="4" t="s">
        <v>67</v>
      </c>
      <c r="K36" s="21">
        <f>MAX(0.5*K10*1000,600)</f>
        <v>2221.7896127481154</v>
      </c>
      <c r="L36" s="23"/>
    </row>
    <row r="37" spans="2:12" x14ac:dyDescent="0.25">
      <c r="B37" s="4" t="s">
        <v>141</v>
      </c>
      <c r="C37" s="11">
        <v>2825</v>
      </c>
      <c r="J37" s="4" t="s">
        <v>66</v>
      </c>
      <c r="K37" s="21">
        <v>150</v>
      </c>
      <c r="L37" s="23"/>
    </row>
    <row r="38" spans="2:12" x14ac:dyDescent="0.25">
      <c r="B38" s="4"/>
      <c r="C38" s="11"/>
      <c r="J38" s="4" t="s">
        <v>65</v>
      </c>
      <c r="K38" s="21">
        <f>MAX(0.15*K10*1000,400)</f>
        <v>666.53688382443454</v>
      </c>
      <c r="L38" s="23"/>
    </row>
    <row r="39" spans="2:12" x14ac:dyDescent="0.25">
      <c r="B39" s="4"/>
      <c r="C39" s="11"/>
      <c r="J39" s="4" t="s">
        <v>100</v>
      </c>
      <c r="K39" s="21">
        <f>SUM(K31:K38)</f>
        <v>4745.5264965725501</v>
      </c>
      <c r="L39" s="23"/>
    </row>
    <row r="40" spans="2:12" x14ac:dyDescent="0.25">
      <c r="B40" s="4" t="s">
        <v>68</v>
      </c>
      <c r="C40" s="11">
        <v>1125</v>
      </c>
      <c r="J40" s="4" t="s">
        <v>64</v>
      </c>
      <c r="K40" s="21">
        <f>K39*0.001/K10</f>
        <v>1.0679513643739749</v>
      </c>
      <c r="L40" s="23"/>
    </row>
    <row r="41" spans="2:12" x14ac:dyDescent="0.25">
      <c r="B41" s="4" t="s">
        <v>69</v>
      </c>
      <c r="C41" s="11">
        <v>100</v>
      </c>
      <c r="J41" s="22" t="s">
        <v>99</v>
      </c>
      <c r="K41" s="17"/>
      <c r="L41" s="17"/>
    </row>
    <row r="42" spans="2:12" x14ac:dyDescent="0.25">
      <c r="B42" s="4" t="s">
        <v>70</v>
      </c>
      <c r="C42" s="11">
        <v>200</v>
      </c>
    </row>
    <row r="43" spans="2:12" x14ac:dyDescent="0.25">
      <c r="B43" s="4" t="s">
        <v>71</v>
      </c>
      <c r="C43" s="11">
        <v>100</v>
      </c>
    </row>
    <row r="44" spans="2:12" x14ac:dyDescent="0.25">
      <c r="B44" s="4" t="s">
        <v>72</v>
      </c>
      <c r="C44" s="11">
        <v>500</v>
      </c>
    </row>
    <row r="45" spans="2:12" x14ac:dyDescent="0.25">
      <c r="B45" s="4" t="s">
        <v>75</v>
      </c>
      <c r="C45" s="11"/>
    </row>
    <row r="46" spans="2:12" x14ac:dyDescent="0.25">
      <c r="B46" s="4" t="s">
        <v>76</v>
      </c>
      <c r="C46" s="11"/>
    </row>
    <row r="47" spans="2:12" x14ac:dyDescent="0.25">
      <c r="B47" s="4" t="s">
        <v>78</v>
      </c>
      <c r="C47" s="11"/>
    </row>
  </sheetData>
  <phoneticPr fontId="14" type="noConversion"/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48"/>
  <sheetViews>
    <sheetView topLeftCell="A16" workbookViewId="0">
      <selection activeCell="C36" sqref="C36"/>
    </sheetView>
  </sheetViews>
  <sheetFormatPr defaultRowHeight="15" x14ac:dyDescent="0.25"/>
  <cols>
    <col min="2" max="2" width="21.5703125" customWidth="1"/>
    <col min="3" max="3" width="19.7109375" customWidth="1"/>
    <col min="4" max="4" width="18.42578125" customWidth="1"/>
    <col min="10" max="10" width="19.85546875" customWidth="1"/>
    <col min="11" max="11" width="15.42578125" customWidth="1"/>
    <col min="12" max="12" width="13" customWidth="1"/>
    <col min="21" max="21" width="13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27086</v>
      </c>
      <c r="D5" s="2">
        <v>413590</v>
      </c>
      <c r="J5" s="4" t="s">
        <v>80</v>
      </c>
      <c r="K5" s="19">
        <f t="shared" ref="K5" si="0">(C6/D6)-1</f>
        <v>94.28301886792454</v>
      </c>
      <c r="L5" s="18">
        <f>Table51225[[#This Row],[OUTPUT]]</f>
        <v>94.28301886792454</v>
      </c>
    </row>
    <row r="6" spans="2:12" x14ac:dyDescent="0.25">
      <c r="B6" s="4" t="s">
        <v>22</v>
      </c>
      <c r="C6" s="1">
        <v>909</v>
      </c>
      <c r="D6" s="2">
        <v>9.5399999999999991</v>
      </c>
      <c r="J6" s="4" t="s">
        <v>81</v>
      </c>
      <c r="K6" s="19">
        <v>0.97</v>
      </c>
      <c r="L6" s="18">
        <f>0.048*((Table18[[#This Row],[INLET]]-D6)/D6)^0.5</f>
        <v>0.46607732778123651</v>
      </c>
    </row>
    <row r="7" spans="2:12" x14ac:dyDescent="0.25">
      <c r="B7" s="4" t="s">
        <v>17</v>
      </c>
      <c r="C7" s="1"/>
      <c r="D7" s="2">
        <v>12.94</v>
      </c>
      <c r="J7" s="4" t="s">
        <v>82</v>
      </c>
      <c r="K7" s="19">
        <f>K6*0.85</f>
        <v>0.82450000000000001</v>
      </c>
      <c r="L7" s="18">
        <f>L6*L11</f>
        <v>0.79233145722810205</v>
      </c>
    </row>
    <row r="8" spans="2:12" x14ac:dyDescent="0.25">
      <c r="B8" s="4" t="s">
        <v>18</v>
      </c>
      <c r="C8" s="1">
        <v>159</v>
      </c>
      <c r="D8" s="2">
        <v>159</v>
      </c>
      <c r="J8" s="4" t="s">
        <v>83</v>
      </c>
      <c r="K8" s="19">
        <f>D5/D6/3600</f>
        <v>12.042569298858607</v>
      </c>
      <c r="L8" s="18">
        <f>Table51225[[#This Row],[OUTPUT]]</f>
        <v>12.042569298858607</v>
      </c>
    </row>
    <row r="9" spans="2:12" x14ac:dyDescent="0.25">
      <c r="B9" s="4" t="s">
        <v>19</v>
      </c>
      <c r="C9" s="1">
        <v>25.3</v>
      </c>
      <c r="D9" s="2">
        <v>25.3</v>
      </c>
      <c r="J9" s="4" t="s">
        <v>84</v>
      </c>
      <c r="K9" s="19">
        <f>(4*K8/K7/3.14)^0.5</f>
        <v>4.3134961893332324</v>
      </c>
      <c r="L9" s="18">
        <f>(4*L8/L7/3.14)^0.5</f>
        <v>4.4001886793393652</v>
      </c>
    </row>
    <row r="10" spans="2:12" x14ac:dyDescent="0.25">
      <c r="B10" s="4" t="s">
        <v>20</v>
      </c>
      <c r="C10" s="1">
        <v>200</v>
      </c>
      <c r="D10" s="2">
        <v>200</v>
      </c>
      <c r="J10" s="4" t="s">
        <v>85</v>
      </c>
      <c r="K10" s="19">
        <f>K9</f>
        <v>4.3134961893332324</v>
      </c>
      <c r="L10" s="18">
        <f>L9</f>
        <v>4.4001886793393652</v>
      </c>
    </row>
    <row r="11" spans="2:12" x14ac:dyDescent="0.25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36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0.65669289291035704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10.157792730296913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18.350809844978716</v>
      </c>
      <c r="L16" s="18"/>
    </row>
    <row r="17" spans="2:21" x14ac:dyDescent="0.25">
      <c r="B17" s="4"/>
      <c r="C17" s="1"/>
      <c r="D17" s="2"/>
      <c r="J17" s="4" t="s">
        <v>93</v>
      </c>
      <c r="K17" s="19">
        <f>K15*(K16^2)</f>
        <v>3420.6592722033347</v>
      </c>
      <c r="L17" s="18"/>
      <c r="M17" t="s">
        <v>95</v>
      </c>
      <c r="N17" s="12" t="s">
        <v>142</v>
      </c>
      <c r="O17" s="12"/>
      <c r="P17" s="12"/>
      <c r="Q17" s="12"/>
      <c r="R17" s="12"/>
      <c r="S17" s="12"/>
      <c r="T17" s="12"/>
      <c r="U17" s="12"/>
    </row>
    <row r="18" spans="2:21" ht="15.75" thickBot="1" x14ac:dyDescent="0.3">
      <c r="J18" s="4" t="s">
        <v>94</v>
      </c>
      <c r="K18" s="19">
        <f>D6*((D5/D6/3600/K14)^2)</f>
        <v>3208.2045520684737</v>
      </c>
      <c r="L18" s="18"/>
      <c r="M18" t="s">
        <v>96</v>
      </c>
    </row>
    <row r="19" spans="2:21" ht="15.75" thickTop="1" x14ac:dyDescent="0.25">
      <c r="C19" s="10" t="s">
        <v>4</v>
      </c>
      <c r="J19" s="22" t="s">
        <v>88</v>
      </c>
      <c r="K19" s="1" t="s">
        <v>97</v>
      </c>
      <c r="L19" s="1"/>
    </row>
    <row r="20" spans="2:21" x14ac:dyDescent="0.25">
      <c r="B20" s="4" t="s">
        <v>2</v>
      </c>
      <c r="C20" s="1" t="s">
        <v>9</v>
      </c>
      <c r="J20" s="4" t="s">
        <v>89</v>
      </c>
      <c r="K20" s="19">
        <v>36</v>
      </c>
      <c r="L20" s="18"/>
    </row>
    <row r="21" spans="2:21" x14ac:dyDescent="0.25">
      <c r="B21" s="4" t="s">
        <v>24</v>
      </c>
      <c r="C21" s="1">
        <v>3650</v>
      </c>
      <c r="J21" s="4" t="s">
        <v>90</v>
      </c>
      <c r="K21" s="19">
        <f>PI()/4*(K20*25.4/1000)^2</f>
        <v>0.65669289291035704</v>
      </c>
      <c r="L21" s="18"/>
    </row>
    <row r="22" spans="2:21" x14ac:dyDescent="0.25">
      <c r="B22" s="4" t="s">
        <v>5</v>
      </c>
      <c r="C22" s="1">
        <v>4750</v>
      </c>
      <c r="J22" s="4" t="s">
        <v>82</v>
      </c>
      <c r="K22" s="19">
        <f>D5/D6/3600/K21</f>
        <v>18.338205619201819</v>
      </c>
      <c r="L22" s="18"/>
    </row>
    <row r="23" spans="2:21" x14ac:dyDescent="0.25">
      <c r="B23" s="4" t="s">
        <v>6</v>
      </c>
      <c r="C23" s="1" t="s">
        <v>25</v>
      </c>
      <c r="J23" s="4"/>
      <c r="K23" s="21"/>
      <c r="L23" s="18"/>
    </row>
    <row r="24" spans="2:21" x14ac:dyDescent="0.25">
      <c r="B24" s="4" t="s">
        <v>7</v>
      </c>
      <c r="C24" s="1" t="s">
        <v>26</v>
      </c>
      <c r="J24" s="4"/>
      <c r="K24" s="21"/>
      <c r="L24" s="23"/>
    </row>
    <row r="25" spans="2:21" x14ac:dyDescent="0.25">
      <c r="B25" s="4" t="s">
        <v>8</v>
      </c>
      <c r="C25" s="1" t="s">
        <v>26</v>
      </c>
      <c r="J25" s="4" t="s">
        <v>94</v>
      </c>
      <c r="K25" s="21">
        <f>D6*((D5/D6/3600/K21)^2)</f>
        <v>3208.2045520684737</v>
      </c>
      <c r="L25" s="23"/>
      <c r="M25" t="s">
        <v>96</v>
      </c>
    </row>
    <row r="26" spans="2:21" x14ac:dyDescent="0.25">
      <c r="B26" s="4" t="s">
        <v>10</v>
      </c>
      <c r="C26" s="1">
        <v>500</v>
      </c>
      <c r="J26" s="22" t="s">
        <v>88</v>
      </c>
      <c r="K26" s="24" t="s">
        <v>0</v>
      </c>
      <c r="L26" s="24"/>
    </row>
    <row r="27" spans="2:21" x14ac:dyDescent="0.25">
      <c r="B27" s="4" t="s">
        <v>11</v>
      </c>
      <c r="C27" s="1">
        <v>600</v>
      </c>
      <c r="J27" s="4" t="s">
        <v>89</v>
      </c>
      <c r="K27" s="21">
        <v>4</v>
      </c>
      <c r="L27" s="23"/>
    </row>
    <row r="28" spans="2:21" x14ac:dyDescent="0.25">
      <c r="B28" s="4" t="s">
        <v>12</v>
      </c>
      <c r="C28" s="1">
        <v>800</v>
      </c>
      <c r="J28" s="4" t="s">
        <v>90</v>
      </c>
      <c r="K28" s="21">
        <f>PI()/4*(K27*25.4/1000)^2</f>
        <v>8.107319665559963E-3</v>
      </c>
      <c r="L28" s="23"/>
    </row>
    <row r="29" spans="2:21" x14ac:dyDescent="0.25">
      <c r="B29" s="4" t="s">
        <v>13</v>
      </c>
      <c r="C29" s="1">
        <v>900</v>
      </c>
      <c r="J29" s="4" t="s">
        <v>98</v>
      </c>
      <c r="K29" s="21">
        <f>C5/C6/3600/K28</f>
        <v>1.0209422879287591</v>
      </c>
      <c r="L29" s="23"/>
    </row>
    <row r="30" spans="2:21" x14ac:dyDescent="0.25">
      <c r="B30" s="4" t="s">
        <v>14</v>
      </c>
      <c r="C30" s="1" t="s">
        <v>27</v>
      </c>
      <c r="J30" s="22" t="s">
        <v>99</v>
      </c>
      <c r="K30" s="24"/>
      <c r="L30" s="24"/>
    </row>
    <row r="31" spans="2:21" x14ac:dyDescent="0.25">
      <c r="B31" s="4" t="s">
        <v>15</v>
      </c>
      <c r="C31" s="1" t="s">
        <v>28</v>
      </c>
      <c r="J31" s="4" t="s">
        <v>72</v>
      </c>
      <c r="K31" s="21">
        <v>150</v>
      </c>
      <c r="L31" s="23"/>
    </row>
    <row r="32" spans="2:21" x14ac:dyDescent="0.25">
      <c r="B32" s="4" t="s">
        <v>143</v>
      </c>
      <c r="C32" s="1">
        <v>863</v>
      </c>
      <c r="J32" s="4" t="s">
        <v>71</v>
      </c>
      <c r="K32" s="21">
        <f>ROUNDUP(MAX(150,2*C5/C6/60/(PI()/4*K9^2)*1000),0)</f>
        <v>150</v>
      </c>
      <c r="L32" s="23"/>
    </row>
    <row r="33" spans="2:12" x14ac:dyDescent="0.25">
      <c r="B33" s="4" t="s">
        <v>144</v>
      </c>
      <c r="C33" s="1">
        <v>863</v>
      </c>
      <c r="J33" s="4" t="s">
        <v>70</v>
      </c>
      <c r="K33" s="21">
        <f>ROUNDUP(MAX(350,4*C5/C6/60/(PI()/4*K9^2)*1000),0)</f>
        <v>350</v>
      </c>
      <c r="L33" s="23"/>
    </row>
    <row r="34" spans="2:12" x14ac:dyDescent="0.25">
      <c r="B34" s="4" t="s">
        <v>145</v>
      </c>
      <c r="C34" s="1">
        <v>101.6</v>
      </c>
      <c r="J34" s="4" t="s">
        <v>69</v>
      </c>
      <c r="K34" s="21">
        <f>ROUNDUP(MAX(200,2*C5/C6/60/(PI()/4*K9^2)*1000),0)</f>
        <v>200</v>
      </c>
      <c r="L34" s="23"/>
    </row>
    <row r="35" spans="2:12" x14ac:dyDescent="0.25">
      <c r="B35" s="3"/>
      <c r="C35" s="1"/>
      <c r="J35" s="4" t="s">
        <v>68</v>
      </c>
      <c r="K35" s="21">
        <f>400+K13*25.4/2</f>
        <v>857.2</v>
      </c>
      <c r="L35" s="23"/>
    </row>
    <row r="36" spans="2:12" x14ac:dyDescent="0.25">
      <c r="B36" s="3"/>
      <c r="C36" s="16" t="s">
        <v>73</v>
      </c>
      <c r="J36" s="4" t="s">
        <v>67</v>
      </c>
      <c r="K36" s="21">
        <v>0</v>
      </c>
      <c r="L36" s="23"/>
    </row>
    <row r="37" spans="2:12" x14ac:dyDescent="0.25">
      <c r="B37" s="4" t="s">
        <v>64</v>
      </c>
      <c r="C37" s="11">
        <f t="shared" ref="C37" si="1" xml:space="preserve"> C22/C21</f>
        <v>1.3013698630136987</v>
      </c>
      <c r="J37" s="4" t="s">
        <v>66</v>
      </c>
      <c r="K37" s="21">
        <v>0</v>
      </c>
      <c r="L37" s="23"/>
    </row>
    <row r="38" spans="2:12" x14ac:dyDescent="0.25">
      <c r="B38" s="4" t="s">
        <v>141</v>
      </c>
      <c r="C38" s="11">
        <v>2750</v>
      </c>
      <c r="J38" s="4" t="s">
        <v>65</v>
      </c>
      <c r="K38" s="21">
        <f>MAX(0.6*K10*1000,800)</f>
        <v>2588.0977135999397</v>
      </c>
      <c r="L38" s="23"/>
    </row>
    <row r="39" spans="2:12" x14ac:dyDescent="0.25">
      <c r="B39" s="4"/>
      <c r="C39" s="11"/>
      <c r="J39" s="4" t="s">
        <v>100</v>
      </c>
      <c r="K39" s="21">
        <f>SUM(K31:K38)</f>
        <v>4295.2977135999399</v>
      </c>
      <c r="L39" s="23"/>
    </row>
    <row r="40" spans="2:12" x14ac:dyDescent="0.25">
      <c r="B40" s="4"/>
      <c r="C40" s="11"/>
      <c r="J40" s="4" t="s">
        <v>64</v>
      </c>
      <c r="K40" s="21">
        <f>K39*0.001/K10</f>
        <v>0.99578103818005093</v>
      </c>
      <c r="L40" s="23"/>
    </row>
    <row r="41" spans="2:12" x14ac:dyDescent="0.25">
      <c r="B41" s="4" t="s">
        <v>68</v>
      </c>
      <c r="C41" s="11">
        <v>1100</v>
      </c>
      <c r="J41" s="22" t="s">
        <v>99</v>
      </c>
      <c r="K41" s="17"/>
      <c r="L41" s="17"/>
    </row>
    <row r="42" spans="2:12" x14ac:dyDescent="0.25">
      <c r="B42" s="4" t="s">
        <v>69</v>
      </c>
      <c r="C42" s="11">
        <v>100</v>
      </c>
    </row>
    <row r="43" spans="2:12" x14ac:dyDescent="0.25">
      <c r="B43" s="4" t="s">
        <v>70</v>
      </c>
      <c r="C43" s="11">
        <v>200</v>
      </c>
    </row>
    <row r="44" spans="2:12" x14ac:dyDescent="0.25">
      <c r="B44" s="4" t="s">
        <v>71</v>
      </c>
      <c r="C44" s="11">
        <v>100</v>
      </c>
    </row>
    <row r="45" spans="2:12" x14ac:dyDescent="0.25">
      <c r="B45" s="4" t="s">
        <v>72</v>
      </c>
      <c r="C45" s="11">
        <v>500</v>
      </c>
    </row>
    <row r="46" spans="2:12" x14ac:dyDescent="0.25">
      <c r="B46" s="4" t="s">
        <v>75</v>
      </c>
      <c r="C46" s="11"/>
    </row>
    <row r="47" spans="2:12" x14ac:dyDescent="0.25">
      <c r="B47" s="4" t="s">
        <v>76</v>
      </c>
      <c r="C47" s="11"/>
    </row>
    <row r="48" spans="2:12" x14ac:dyDescent="0.25">
      <c r="B48" s="4" t="s">
        <v>78</v>
      </c>
      <c r="C48" s="11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50"/>
  <sheetViews>
    <sheetView topLeftCell="A19" workbookViewId="0">
      <selection activeCell="B37" sqref="B37:C49"/>
    </sheetView>
  </sheetViews>
  <sheetFormatPr defaultRowHeight="15" x14ac:dyDescent="0.25"/>
  <cols>
    <col min="2" max="2" width="21.5703125" customWidth="1"/>
    <col min="3" max="3" width="20.28515625" customWidth="1"/>
    <col min="4" max="4" width="18" customWidth="1"/>
    <col min="10" max="10" width="18.5703125" customWidth="1"/>
    <col min="11" max="11" width="14.28515625" customWidth="1"/>
    <col min="12" max="12" width="13.42578125" customWidth="1"/>
    <col min="21" max="21" width="12.7109375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90055</v>
      </c>
      <c r="D5" s="2">
        <v>350621</v>
      </c>
      <c r="J5" s="4" t="s">
        <v>80</v>
      </c>
      <c r="K5" s="19">
        <f>(C6/D6)-1</f>
        <v>98.892357373519928</v>
      </c>
      <c r="L5" s="18">
        <f>Table512[[#This Row],[OUTPUT]]</f>
        <v>98.892357373519928</v>
      </c>
    </row>
    <row r="6" spans="2:12" x14ac:dyDescent="0.25">
      <c r="B6" s="4" t="s">
        <v>22</v>
      </c>
      <c r="C6" s="1">
        <v>928</v>
      </c>
      <c r="D6" s="2">
        <v>9.2899999999999991</v>
      </c>
      <c r="J6" s="4" t="s">
        <v>81</v>
      </c>
      <c r="K6" s="19">
        <v>1</v>
      </c>
      <c r="L6" s="18">
        <f>0.048*((Table1814[[#This Row],[INLET]]-D6)/D6)^0.5</f>
        <v>0.47733425541080743</v>
      </c>
    </row>
    <row r="7" spans="2:12" x14ac:dyDescent="0.25">
      <c r="B7" s="4" t="s">
        <v>17</v>
      </c>
      <c r="C7" s="1"/>
      <c r="D7" s="2">
        <v>12.32</v>
      </c>
      <c r="J7" s="4" t="s">
        <v>82</v>
      </c>
      <c r="K7" s="19">
        <f>K6*0.85</f>
        <v>0.85</v>
      </c>
      <c r="L7" s="18">
        <f>L6*L11</f>
        <v>0.81146823419837266</v>
      </c>
    </row>
    <row r="8" spans="2:12" x14ac:dyDescent="0.25">
      <c r="B8" s="4" t="s">
        <v>18</v>
      </c>
      <c r="C8" s="1">
        <v>139</v>
      </c>
      <c r="D8" s="2">
        <v>139</v>
      </c>
      <c r="J8" s="4" t="s">
        <v>83</v>
      </c>
      <c r="K8" s="19">
        <f>D5/D6/3600</f>
        <v>10.483823705298411</v>
      </c>
      <c r="L8" s="18">
        <f>Table512[[#This Row],[OUTPUT]]</f>
        <v>10.483823705298411</v>
      </c>
    </row>
    <row r="9" spans="2:12" x14ac:dyDescent="0.25">
      <c r="B9" s="4" t="s">
        <v>19</v>
      </c>
      <c r="C9" s="1">
        <v>24.8</v>
      </c>
      <c r="D9" s="2">
        <v>24.8</v>
      </c>
      <c r="J9" s="4" t="s">
        <v>84</v>
      </c>
      <c r="K9" s="19">
        <f>(4*K8/K7/3.14)^0.5</f>
        <v>3.9638349573140523</v>
      </c>
      <c r="L9" s="18">
        <f>(4*L8/L7/3.14)^0.5</f>
        <v>4.0568529360470578</v>
      </c>
    </row>
    <row r="10" spans="2:12" x14ac:dyDescent="0.25">
      <c r="B10" s="4" t="s">
        <v>20</v>
      </c>
      <c r="C10" s="1">
        <v>200</v>
      </c>
      <c r="D10" s="2">
        <v>200</v>
      </c>
      <c r="J10" s="4" t="s">
        <v>85</v>
      </c>
      <c r="K10" s="19">
        <f>K9</f>
        <v>3.9638349573140523</v>
      </c>
      <c r="L10" s="18">
        <f>L9</f>
        <v>4.0568529360470578</v>
      </c>
    </row>
    <row r="11" spans="2:12" x14ac:dyDescent="0.25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34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0.58575384583670731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11.646138731326825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17.94402187591195</v>
      </c>
      <c r="L16" s="18"/>
    </row>
    <row r="17" spans="2:21" x14ac:dyDescent="0.25">
      <c r="B17" s="4"/>
      <c r="C17" s="1"/>
      <c r="D17" s="2"/>
      <c r="J17" s="4" t="s">
        <v>93</v>
      </c>
      <c r="K17" s="19">
        <f>K15*(K16^2)</f>
        <v>3749.9159987465382</v>
      </c>
      <c r="L17" s="18"/>
      <c r="M17" t="s">
        <v>95</v>
      </c>
      <c r="N17" s="12" t="s">
        <v>142</v>
      </c>
      <c r="O17" s="12"/>
      <c r="P17" s="12"/>
      <c r="Q17" s="12"/>
      <c r="R17" s="12"/>
      <c r="S17" s="12"/>
      <c r="T17" s="12"/>
      <c r="U17" s="12"/>
    </row>
    <row r="18" spans="2:21" ht="15.75" thickBot="1" x14ac:dyDescent="0.3">
      <c r="J18" s="4" t="s">
        <v>94</v>
      </c>
      <c r="K18" s="19">
        <f>D6*((D5/D6/3600/K14)^2)</f>
        <v>2975.9445523647069</v>
      </c>
      <c r="L18" s="18"/>
      <c r="M18" t="s">
        <v>96</v>
      </c>
    </row>
    <row r="19" spans="2:21" ht="15.75" thickTop="1" x14ac:dyDescent="0.25">
      <c r="C19" s="10" t="s">
        <v>4</v>
      </c>
      <c r="J19" s="22" t="s">
        <v>88</v>
      </c>
      <c r="K19" s="1" t="s">
        <v>97</v>
      </c>
      <c r="L19" s="1"/>
    </row>
    <row r="20" spans="2:21" x14ac:dyDescent="0.25">
      <c r="B20" s="4" t="s">
        <v>2</v>
      </c>
      <c r="C20" s="1" t="s">
        <v>9</v>
      </c>
      <c r="J20" s="4" t="s">
        <v>89</v>
      </c>
      <c r="K20" s="19">
        <v>34</v>
      </c>
      <c r="L20" s="18"/>
    </row>
    <row r="21" spans="2:21" x14ac:dyDescent="0.25">
      <c r="B21" s="4" t="s">
        <v>24</v>
      </c>
      <c r="C21" s="1">
        <v>3350</v>
      </c>
      <c r="J21" s="4" t="s">
        <v>90</v>
      </c>
      <c r="K21" s="20">
        <f>PI()/4*(K20*25.4/1000)^2</f>
        <v>0.58575384583670731</v>
      </c>
      <c r="L21" s="18"/>
    </row>
    <row r="22" spans="2:21" x14ac:dyDescent="0.25">
      <c r="B22" s="4" t="s">
        <v>5</v>
      </c>
      <c r="C22" s="1">
        <v>4825</v>
      </c>
      <c r="J22" s="4" t="s">
        <v>82</v>
      </c>
      <c r="K22" s="20">
        <f>D5/D6/3600/K21</f>
        <v>17.898002343156659</v>
      </c>
      <c r="L22" s="18"/>
    </row>
    <row r="23" spans="2:21" x14ac:dyDescent="0.25">
      <c r="B23" s="4" t="s">
        <v>6</v>
      </c>
      <c r="C23" s="1" t="s">
        <v>25</v>
      </c>
      <c r="J23" s="4"/>
      <c r="K23" s="21"/>
      <c r="L23" s="18"/>
    </row>
    <row r="24" spans="2:21" x14ac:dyDescent="0.25">
      <c r="B24" s="4" t="s">
        <v>7</v>
      </c>
      <c r="C24" s="1" t="s">
        <v>26</v>
      </c>
      <c r="J24" s="4"/>
      <c r="K24" s="21"/>
      <c r="L24" s="23"/>
    </row>
    <row r="25" spans="2:21" x14ac:dyDescent="0.25">
      <c r="B25" s="4" t="s">
        <v>8</v>
      </c>
      <c r="C25" s="1" t="s">
        <v>26</v>
      </c>
      <c r="J25" s="4" t="s">
        <v>94</v>
      </c>
      <c r="K25" s="21">
        <f>D6*((D5/D6/3600/K21)^2)</f>
        <v>2975.9445523647069</v>
      </c>
      <c r="L25" s="23"/>
      <c r="M25" t="s">
        <v>96</v>
      </c>
    </row>
    <row r="26" spans="2:21" x14ac:dyDescent="0.25">
      <c r="B26" s="4" t="s">
        <v>10</v>
      </c>
      <c r="C26" s="1">
        <v>500</v>
      </c>
      <c r="J26" s="22" t="s">
        <v>88</v>
      </c>
      <c r="K26" s="24" t="s">
        <v>0</v>
      </c>
      <c r="L26" s="24"/>
    </row>
    <row r="27" spans="2:21" x14ac:dyDescent="0.25">
      <c r="B27" s="4" t="s">
        <v>11</v>
      </c>
      <c r="C27" s="1">
        <v>700</v>
      </c>
      <c r="J27" s="4" t="s">
        <v>89</v>
      </c>
      <c r="K27" s="21">
        <v>8</v>
      </c>
      <c r="L27" s="23"/>
    </row>
    <row r="28" spans="2:21" x14ac:dyDescent="0.25">
      <c r="B28" s="4" t="s">
        <v>12</v>
      </c>
      <c r="C28" s="1">
        <v>1075</v>
      </c>
      <c r="J28" s="4" t="s">
        <v>90</v>
      </c>
      <c r="K28" s="21">
        <f>PI()/4*(K27*25.4/1000)^2</f>
        <v>3.2429278662239852E-2</v>
      </c>
      <c r="L28" s="23"/>
    </row>
    <row r="29" spans="2:21" x14ac:dyDescent="0.25">
      <c r="B29" s="4" t="s">
        <v>13</v>
      </c>
      <c r="C29" s="1">
        <v>1275</v>
      </c>
      <c r="J29" s="4" t="s">
        <v>98</v>
      </c>
      <c r="K29" s="21">
        <f>C5/C6/3600/K28</f>
        <v>0.83122781039241678</v>
      </c>
      <c r="L29" s="23"/>
    </row>
    <row r="30" spans="2:21" x14ac:dyDescent="0.25">
      <c r="B30" s="4" t="s">
        <v>14</v>
      </c>
      <c r="C30" s="1" t="s">
        <v>27</v>
      </c>
      <c r="J30" s="22" t="s">
        <v>99</v>
      </c>
      <c r="K30" s="24"/>
      <c r="L30" s="24"/>
    </row>
    <row r="31" spans="2:21" x14ac:dyDescent="0.25">
      <c r="B31" s="4" t="s">
        <v>15</v>
      </c>
      <c r="C31" s="1" t="s">
        <v>28</v>
      </c>
      <c r="J31" s="4" t="s">
        <v>72</v>
      </c>
      <c r="K31" s="21">
        <v>150</v>
      </c>
      <c r="L31" s="23"/>
    </row>
    <row r="32" spans="2:21" x14ac:dyDescent="0.25">
      <c r="B32" s="4" t="s">
        <v>143</v>
      </c>
      <c r="C32" s="1">
        <v>863</v>
      </c>
      <c r="J32" s="4" t="s">
        <v>71</v>
      </c>
      <c r="K32" s="21">
        <f>ROUNDUP(MAX(150,2*C5/C6/60/(PI()/4*K9^2)*1000),0)</f>
        <v>263</v>
      </c>
      <c r="L32" s="23"/>
    </row>
    <row r="33" spans="2:12" x14ac:dyDescent="0.25">
      <c r="B33" s="4" t="s">
        <v>144</v>
      </c>
      <c r="C33" s="1">
        <v>863</v>
      </c>
      <c r="J33" s="4" t="s">
        <v>70</v>
      </c>
      <c r="K33" s="21">
        <f>ROUNDUP(MAX(350,4*C5/C6/60/(PI()/4*K9^2)*1000),0)</f>
        <v>525</v>
      </c>
      <c r="L33" s="23"/>
    </row>
    <row r="34" spans="2:12" x14ac:dyDescent="0.25">
      <c r="B34" s="4" t="s">
        <v>145</v>
      </c>
      <c r="C34" s="1">
        <v>203.2</v>
      </c>
      <c r="J34" s="4" t="s">
        <v>69</v>
      </c>
      <c r="K34" s="21">
        <f>ROUNDUP(MAX(200,2*C5/C6/60/(PI()/4*K9^2)*1000),0)</f>
        <v>263</v>
      </c>
      <c r="L34" s="23"/>
    </row>
    <row r="35" spans="2:12" x14ac:dyDescent="0.25">
      <c r="B35" s="3"/>
      <c r="C35" s="1"/>
      <c r="J35" s="4" t="s">
        <v>68</v>
      </c>
      <c r="K35" s="21">
        <f>400+K13*25.4/2</f>
        <v>831.8</v>
      </c>
      <c r="L35" s="23"/>
    </row>
    <row r="36" spans="2:12" x14ac:dyDescent="0.25">
      <c r="B36" s="3"/>
      <c r="C36" s="1"/>
      <c r="J36" s="4" t="s">
        <v>67</v>
      </c>
      <c r="K36" s="21">
        <v>0</v>
      </c>
      <c r="L36" s="23"/>
    </row>
    <row r="37" spans="2:12" x14ac:dyDescent="0.25">
      <c r="B37" s="4"/>
      <c r="C37" s="16" t="s">
        <v>73</v>
      </c>
      <c r="J37" s="4" t="s">
        <v>66</v>
      </c>
      <c r="K37" s="21">
        <v>0</v>
      </c>
      <c r="L37" s="23"/>
    </row>
    <row r="38" spans="2:12" x14ac:dyDescent="0.25">
      <c r="B38" s="4" t="s">
        <v>64</v>
      </c>
      <c r="C38" s="15">
        <f>C22/C21</f>
        <v>1.4402985074626866</v>
      </c>
      <c r="J38" s="4" t="s">
        <v>65</v>
      </c>
      <c r="K38" s="21">
        <f>MAX(0.6*K10*1000,800)</f>
        <v>2378.3009743884313</v>
      </c>
      <c r="L38" s="23"/>
    </row>
    <row r="39" spans="2:12" x14ac:dyDescent="0.25">
      <c r="B39" s="4" t="s">
        <v>141</v>
      </c>
      <c r="C39" s="15">
        <v>2525</v>
      </c>
      <c r="J39" s="4" t="s">
        <v>100</v>
      </c>
      <c r="K39" s="21">
        <f>SUM(K31:K38)</f>
        <v>4411.1009743884315</v>
      </c>
      <c r="L39" s="23"/>
    </row>
    <row r="40" spans="2:12" x14ac:dyDescent="0.25">
      <c r="B40" s="4"/>
      <c r="C40" s="15"/>
      <c r="J40" s="4" t="s">
        <v>64</v>
      </c>
      <c r="K40" s="21">
        <f>K39*0.001/K10</f>
        <v>1.1128366901979825</v>
      </c>
      <c r="L40" s="23"/>
    </row>
    <row r="41" spans="2:12" x14ac:dyDescent="0.25">
      <c r="B41" s="4"/>
      <c r="C41" s="15"/>
      <c r="J41" s="22" t="s">
        <v>99</v>
      </c>
      <c r="K41" s="17"/>
      <c r="L41" s="17"/>
    </row>
    <row r="42" spans="2:12" x14ac:dyDescent="0.25">
      <c r="B42" s="4" t="s">
        <v>68</v>
      </c>
      <c r="C42" s="15">
        <v>1025</v>
      </c>
    </row>
    <row r="43" spans="2:12" x14ac:dyDescent="0.25">
      <c r="B43" s="4" t="s">
        <v>69</v>
      </c>
      <c r="C43" s="15">
        <v>200</v>
      </c>
    </row>
    <row r="44" spans="2:12" x14ac:dyDescent="0.25">
      <c r="B44" s="4" t="s">
        <v>70</v>
      </c>
      <c r="C44" s="15">
        <v>375</v>
      </c>
    </row>
    <row r="45" spans="2:12" x14ac:dyDescent="0.25">
      <c r="B45" s="4" t="s">
        <v>71</v>
      </c>
      <c r="C45" s="15">
        <v>200</v>
      </c>
    </row>
    <row r="46" spans="2:12" x14ac:dyDescent="0.25">
      <c r="B46" s="4" t="s">
        <v>72</v>
      </c>
      <c r="C46" s="15">
        <v>500</v>
      </c>
    </row>
    <row r="47" spans="2:12" x14ac:dyDescent="0.25">
      <c r="B47" s="4" t="s">
        <v>75</v>
      </c>
      <c r="C47" s="15"/>
    </row>
    <row r="48" spans="2:12" x14ac:dyDescent="0.25">
      <c r="B48" s="4" t="s">
        <v>76</v>
      </c>
      <c r="C48" s="15">
        <f xml:space="preserve"> 875 +C34</f>
        <v>1078.2</v>
      </c>
    </row>
    <row r="49" spans="2:3" x14ac:dyDescent="0.25">
      <c r="B49" s="4" t="s">
        <v>78</v>
      </c>
      <c r="C49" s="15"/>
    </row>
    <row r="50" spans="2:3" x14ac:dyDescent="0.25">
      <c r="B50" s="3"/>
      <c r="C50" s="15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53"/>
  <sheetViews>
    <sheetView topLeftCell="A13" workbookViewId="0">
      <selection activeCell="J35" sqref="J35"/>
    </sheetView>
  </sheetViews>
  <sheetFormatPr defaultRowHeight="15" x14ac:dyDescent="0.25"/>
  <cols>
    <col min="2" max="2" width="22.85546875" customWidth="1"/>
    <col min="3" max="3" width="20.7109375" customWidth="1"/>
    <col min="4" max="4" width="18.140625" customWidth="1"/>
    <col min="10" max="10" width="20.140625" customWidth="1"/>
    <col min="11" max="11" width="12.85546875" customWidth="1"/>
    <col min="12" max="12" width="13.140625" customWidth="1"/>
    <col min="21" max="21" width="12.7109375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68415</v>
      </c>
      <c r="D5" s="2">
        <v>282206</v>
      </c>
      <c r="J5" s="4" t="s">
        <v>80</v>
      </c>
      <c r="K5" s="19">
        <f t="shared" ref="K5" si="0">(C6/D6)-1</f>
        <v>91.429906542056088</v>
      </c>
      <c r="L5" s="18">
        <f>Table5[[#This Row],[OUTPUT]]</f>
        <v>91.429906542056088</v>
      </c>
    </row>
    <row r="6" spans="2:12" x14ac:dyDescent="0.25">
      <c r="B6" s="4" t="s">
        <v>22</v>
      </c>
      <c r="C6" s="1">
        <v>989</v>
      </c>
      <c r="D6" s="2">
        <v>10.7</v>
      </c>
      <c r="J6" s="4" t="s">
        <v>81</v>
      </c>
      <c r="K6" s="19">
        <v>0.95</v>
      </c>
      <c r="L6" s="18">
        <f>0.048*((Table181417[[#This Row],[INLET]]-D6)/D6)^0.5</f>
        <v>0.45897113708042386</v>
      </c>
    </row>
    <row r="7" spans="2:12" x14ac:dyDescent="0.25">
      <c r="B7" s="4" t="s">
        <v>17</v>
      </c>
      <c r="C7" s="1"/>
      <c r="D7" s="2">
        <v>11.44</v>
      </c>
      <c r="J7" s="4" t="s">
        <v>82</v>
      </c>
      <c r="K7" s="19">
        <f>K6*0.85</f>
        <v>0.8075</v>
      </c>
      <c r="L7" s="18">
        <f>L6*L11</f>
        <v>0.78025093303672055</v>
      </c>
    </row>
    <row r="8" spans="2:12" x14ac:dyDescent="0.25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7.3262201453790246</v>
      </c>
      <c r="L8" s="18">
        <f>Table5[[#This Row],[OUTPUT]]</f>
        <v>7.3262201453790246</v>
      </c>
    </row>
    <row r="9" spans="2:12" x14ac:dyDescent="0.25">
      <c r="B9" s="4" t="s">
        <v>19</v>
      </c>
      <c r="C9" s="1">
        <v>24</v>
      </c>
      <c r="D9" s="2">
        <v>24</v>
      </c>
      <c r="J9" s="4" t="s">
        <v>84</v>
      </c>
      <c r="K9" s="19">
        <f>(4*K8/K7/3.14)^0.5</f>
        <v>3.3996474988287768</v>
      </c>
      <c r="L9" s="18">
        <f>(4*L8/L7/3.14)^0.5</f>
        <v>3.4585017964775835</v>
      </c>
    </row>
    <row r="10" spans="2:12" x14ac:dyDescent="0.25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3.5496474988287767</v>
      </c>
      <c r="L10" s="18">
        <f>L9+0.15</f>
        <v>3.6085017964775834</v>
      </c>
    </row>
    <row r="11" spans="2:12" x14ac:dyDescent="0.25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30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0.45603673118774801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13.259216529275667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16.107114143696013</v>
      </c>
      <c r="L16" s="18"/>
    </row>
    <row r="17" spans="2:21" x14ac:dyDescent="0.25">
      <c r="B17" s="4"/>
      <c r="C17" s="1"/>
      <c r="D17" s="2"/>
      <c r="J17" s="4" t="s">
        <v>93</v>
      </c>
      <c r="K17" s="19">
        <f>K15*(K16^2)</f>
        <v>3439.9595483045737</v>
      </c>
      <c r="L17" s="18"/>
      <c r="M17" t="s">
        <v>95</v>
      </c>
      <c r="N17" s="12" t="s">
        <v>142</v>
      </c>
      <c r="O17" s="12"/>
      <c r="P17" s="12"/>
      <c r="Q17" s="12"/>
      <c r="R17" s="12"/>
      <c r="S17" s="12"/>
      <c r="T17" s="12"/>
      <c r="U17" s="12"/>
    </row>
    <row r="18" spans="2:21" ht="15.75" thickBot="1" x14ac:dyDescent="0.3">
      <c r="J18" s="4" t="s">
        <v>94</v>
      </c>
      <c r="K18" s="19">
        <f>D6*((D5/D6/3600/K14)^2)</f>
        <v>2761.4937131994639</v>
      </c>
      <c r="L18" s="18"/>
      <c r="M18" t="s">
        <v>96</v>
      </c>
    </row>
    <row r="19" spans="2:21" ht="15.75" thickTop="1" x14ac:dyDescent="0.25">
      <c r="C19" s="10" t="s">
        <v>4</v>
      </c>
      <c r="J19" s="22" t="s">
        <v>88</v>
      </c>
      <c r="K19" s="1" t="s">
        <v>97</v>
      </c>
      <c r="L19" s="1"/>
    </row>
    <row r="20" spans="2:21" x14ac:dyDescent="0.25">
      <c r="B20" s="4" t="s">
        <v>2</v>
      </c>
      <c r="C20" s="1" t="s">
        <v>9</v>
      </c>
      <c r="J20" s="4" t="s">
        <v>89</v>
      </c>
      <c r="K20" s="19">
        <v>28</v>
      </c>
      <c r="L20" s="18"/>
    </row>
    <row r="21" spans="2:21" x14ac:dyDescent="0.25">
      <c r="B21" s="4" t="s">
        <v>24</v>
      </c>
      <c r="C21" s="1">
        <v>3500</v>
      </c>
      <c r="J21" s="4" t="s">
        <v>90</v>
      </c>
      <c r="K21" s="20">
        <f>PI()/4*(K20*25.4/1000)^2</f>
        <v>0.39725866361243817</v>
      </c>
      <c r="L21" s="18"/>
    </row>
    <row r="22" spans="2:21" x14ac:dyDescent="0.25">
      <c r="B22" s="4" t="s">
        <v>5</v>
      </c>
      <c r="C22" s="1">
        <v>4825</v>
      </c>
      <c r="J22" s="4" t="s">
        <v>82</v>
      </c>
      <c r="K22" s="20">
        <f>D5/D6/3600/K21</f>
        <v>18.441939261333307</v>
      </c>
      <c r="L22" s="18"/>
    </row>
    <row r="23" spans="2:21" x14ac:dyDescent="0.25">
      <c r="B23" s="4" t="s">
        <v>6</v>
      </c>
      <c r="C23" s="1" t="s">
        <v>25</v>
      </c>
      <c r="J23" s="4"/>
      <c r="K23" s="21"/>
      <c r="L23" s="18"/>
    </row>
    <row r="24" spans="2:21" x14ac:dyDescent="0.25">
      <c r="B24" s="4" t="s">
        <v>7</v>
      </c>
      <c r="C24" s="1" t="s">
        <v>26</v>
      </c>
      <c r="J24" s="4"/>
      <c r="K24" s="21"/>
      <c r="L24" s="23"/>
    </row>
    <row r="25" spans="2:21" x14ac:dyDescent="0.25">
      <c r="B25" s="4" t="s">
        <v>8</v>
      </c>
      <c r="C25" s="1" t="s">
        <v>26</v>
      </c>
      <c r="J25" s="4" t="s">
        <v>94</v>
      </c>
      <c r="K25" s="21">
        <f>D6*((D5/D6/3600/K21)^2)</f>
        <v>3639.1248237901632</v>
      </c>
      <c r="L25" s="23"/>
      <c r="M25" t="s">
        <v>96</v>
      </c>
    </row>
    <row r="26" spans="2:21" x14ac:dyDescent="0.25">
      <c r="B26" s="4" t="s">
        <v>10</v>
      </c>
      <c r="C26" s="1">
        <v>500</v>
      </c>
      <c r="J26" s="22" t="s">
        <v>88</v>
      </c>
      <c r="K26" s="24" t="s">
        <v>0</v>
      </c>
      <c r="L26" s="24"/>
    </row>
    <row r="27" spans="2:21" x14ac:dyDescent="0.25">
      <c r="B27" s="4" t="s">
        <v>11</v>
      </c>
      <c r="C27" s="1">
        <v>625</v>
      </c>
      <c r="J27" s="4" t="s">
        <v>89</v>
      </c>
      <c r="K27" s="21">
        <v>8</v>
      </c>
      <c r="L27" s="23"/>
    </row>
    <row r="28" spans="2:21" x14ac:dyDescent="0.25">
      <c r="B28" s="4" t="s">
        <v>12</v>
      </c>
      <c r="C28" s="1">
        <v>875</v>
      </c>
      <c r="J28" s="4" t="s">
        <v>90</v>
      </c>
      <c r="K28" s="21">
        <f>PI()/4*(K27*25.4/1000)^2</f>
        <v>3.2429278662239852E-2</v>
      </c>
      <c r="L28" s="23"/>
    </row>
    <row r="29" spans="2:21" x14ac:dyDescent="0.25">
      <c r="B29" s="4" t="s">
        <v>13</v>
      </c>
      <c r="C29" s="1">
        <v>1000</v>
      </c>
      <c r="J29" s="4" t="s">
        <v>98</v>
      </c>
      <c r="K29" s="21">
        <f>C5/C6/3600/K28</f>
        <v>0.59253669439220236</v>
      </c>
      <c r="L29" s="23"/>
    </row>
    <row r="30" spans="2:21" x14ac:dyDescent="0.25">
      <c r="B30" s="4" t="s">
        <v>14</v>
      </c>
      <c r="C30" s="1" t="s">
        <v>27</v>
      </c>
      <c r="J30" s="22" t="s">
        <v>99</v>
      </c>
      <c r="K30" s="24"/>
      <c r="L30" s="24"/>
    </row>
    <row r="31" spans="2:21" x14ac:dyDescent="0.25">
      <c r="B31" s="4" t="s">
        <v>15</v>
      </c>
      <c r="C31" s="1" t="s">
        <v>28</v>
      </c>
      <c r="J31" s="4" t="s">
        <v>72</v>
      </c>
      <c r="K31" s="21">
        <v>150</v>
      </c>
      <c r="L31" s="23"/>
    </row>
    <row r="32" spans="2:21" x14ac:dyDescent="0.25">
      <c r="B32" s="4" t="s">
        <v>29</v>
      </c>
      <c r="C32" s="1" t="s">
        <v>30</v>
      </c>
      <c r="J32" s="4" t="s">
        <v>71</v>
      </c>
      <c r="K32" s="21">
        <f>ROUNDUP(MAX(150,2*C5/C6/60/(PI()/4*K9^2)*1000),0)</f>
        <v>255</v>
      </c>
      <c r="L32" s="23"/>
    </row>
    <row r="33" spans="2:12" x14ac:dyDescent="0.25">
      <c r="B33" s="4" t="s">
        <v>6</v>
      </c>
      <c r="C33" s="1" t="s">
        <v>34</v>
      </c>
      <c r="J33" s="4" t="s">
        <v>70</v>
      </c>
      <c r="K33" s="21">
        <f>ROUNDUP(MAX(350,4*C5/C6/60/(PI()/4*K9^2)*1000),0)</f>
        <v>509</v>
      </c>
      <c r="L33" s="23"/>
    </row>
    <row r="34" spans="2:12" x14ac:dyDescent="0.25">
      <c r="B34" s="4" t="s">
        <v>35</v>
      </c>
      <c r="C34" s="1">
        <v>3500</v>
      </c>
      <c r="J34" s="4" t="s">
        <v>69</v>
      </c>
      <c r="K34" s="21">
        <f>ROUNDUP(MAX(200,2*C5/C6/60/(PI()/4*K9^2)*1000),0)</f>
        <v>255</v>
      </c>
      <c r="L34" s="23"/>
    </row>
    <row r="35" spans="2:12" x14ac:dyDescent="0.25">
      <c r="B35" s="4" t="s">
        <v>31</v>
      </c>
      <c r="C35" s="1">
        <v>150</v>
      </c>
      <c r="J35" s="4" t="s">
        <v>68</v>
      </c>
      <c r="K35" s="21">
        <f>400+(K13*25.4/2)</f>
        <v>781</v>
      </c>
      <c r="L35" s="23"/>
    </row>
    <row r="36" spans="2:12" x14ac:dyDescent="0.25">
      <c r="B36" s="4" t="s">
        <v>32</v>
      </c>
      <c r="C36" s="1" t="s">
        <v>36</v>
      </c>
      <c r="J36" s="4" t="s">
        <v>67</v>
      </c>
      <c r="K36" s="21">
        <f>MAX(0.5*K10*1000,600)</f>
        <v>1774.8237494143884</v>
      </c>
      <c r="L36" s="23"/>
    </row>
    <row r="37" spans="2:12" x14ac:dyDescent="0.25">
      <c r="B37" s="4" t="s">
        <v>33</v>
      </c>
      <c r="C37" s="1">
        <v>525</v>
      </c>
      <c r="J37" s="4" t="s">
        <v>66</v>
      </c>
      <c r="K37" s="21">
        <v>150</v>
      </c>
      <c r="L37" s="23"/>
    </row>
    <row r="38" spans="2:12" x14ac:dyDescent="0.25">
      <c r="B38" s="4" t="s">
        <v>74</v>
      </c>
      <c r="C38" s="1">
        <v>863.6</v>
      </c>
      <c r="J38" s="4" t="s">
        <v>65</v>
      </c>
      <c r="K38" s="21">
        <f>MAX(0.15*K10*1000,400)</f>
        <v>532.44712482431646</v>
      </c>
      <c r="L38" s="23"/>
    </row>
    <row r="39" spans="2:12" x14ac:dyDescent="0.25">
      <c r="B39" s="4" t="s">
        <v>77</v>
      </c>
      <c r="C39" s="1">
        <v>711</v>
      </c>
      <c r="J39" s="4" t="s">
        <v>100</v>
      </c>
      <c r="K39" s="21">
        <f>SUM(K31:K38)</f>
        <v>4407.2708742387049</v>
      </c>
      <c r="L39" s="23"/>
    </row>
    <row r="40" spans="2:12" x14ac:dyDescent="0.25">
      <c r="B40" s="32"/>
      <c r="C40" s="16" t="s">
        <v>73</v>
      </c>
      <c r="J40" s="4" t="s">
        <v>64</v>
      </c>
      <c r="K40" s="21">
        <f>K39*0.001/K10</f>
        <v>1.2416080401484668</v>
      </c>
      <c r="L40" s="23"/>
    </row>
    <row r="41" spans="2:12" x14ac:dyDescent="0.25">
      <c r="B41" s="32" t="s">
        <v>64</v>
      </c>
      <c r="C41" s="15">
        <f>C22/C21</f>
        <v>1.3785714285714286</v>
      </c>
      <c r="J41" s="22" t="s">
        <v>99</v>
      </c>
      <c r="K41" s="17"/>
      <c r="L41" s="17"/>
    </row>
    <row r="42" spans="2:12" x14ac:dyDescent="0.25">
      <c r="B42" s="32" t="s">
        <v>65</v>
      </c>
      <c r="C42" s="15">
        <v>525</v>
      </c>
    </row>
    <row r="43" spans="2:12" x14ac:dyDescent="0.25">
      <c r="B43" s="32" t="s">
        <v>66</v>
      </c>
      <c r="C43" s="15">
        <v>150</v>
      </c>
    </row>
    <row r="44" spans="2:12" x14ac:dyDescent="0.25">
      <c r="B44" s="32" t="s">
        <v>67</v>
      </c>
      <c r="C44" s="15">
        <v>2100</v>
      </c>
    </row>
    <row r="45" spans="2:12" x14ac:dyDescent="0.25">
      <c r="B45" s="32" t="s">
        <v>68</v>
      </c>
      <c r="C45" s="15">
        <v>1050</v>
      </c>
    </row>
    <row r="46" spans="2:12" x14ac:dyDescent="0.25">
      <c r="B46" s="32" t="s">
        <v>69</v>
      </c>
      <c r="C46" s="15">
        <f>C29-C28</f>
        <v>125</v>
      </c>
    </row>
    <row r="47" spans="2:12" x14ac:dyDescent="0.25">
      <c r="B47" s="32" t="s">
        <v>70</v>
      </c>
      <c r="C47" s="15">
        <f>C28-C27</f>
        <v>250</v>
      </c>
    </row>
    <row r="48" spans="2:12" x14ac:dyDescent="0.25">
      <c r="B48" s="32" t="s">
        <v>71</v>
      </c>
      <c r="C48" s="15">
        <f>C27-C26</f>
        <v>125</v>
      </c>
    </row>
    <row r="49" spans="2:3" x14ac:dyDescent="0.25">
      <c r="B49" s="32" t="s">
        <v>72</v>
      </c>
      <c r="C49" s="15">
        <v>500</v>
      </c>
    </row>
    <row r="50" spans="2:3" x14ac:dyDescent="0.25">
      <c r="B50" s="32" t="s">
        <v>75</v>
      </c>
      <c r="C50" s="15">
        <f xml:space="preserve"> 0.39 * SQRT((C6-D6/D6))</f>
        <v>12.258662243491335</v>
      </c>
    </row>
    <row r="51" spans="2:3" x14ac:dyDescent="0.25">
      <c r="B51" s="32" t="s">
        <v>76</v>
      </c>
      <c r="C51" s="15">
        <f xml:space="preserve"> 875 +C37</f>
        <v>1400</v>
      </c>
    </row>
    <row r="52" spans="2:3" x14ac:dyDescent="0.25">
      <c r="B52" s="32" t="s">
        <v>78</v>
      </c>
      <c r="C52" s="15"/>
    </row>
    <row r="53" spans="2:3" x14ac:dyDescent="0.25">
      <c r="B53" s="33"/>
      <c r="C53" s="15"/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U56"/>
  <sheetViews>
    <sheetView topLeftCell="B22" workbookViewId="0">
      <selection activeCell="I23" sqref="I23"/>
    </sheetView>
  </sheetViews>
  <sheetFormatPr defaultRowHeight="15" x14ac:dyDescent="0.25"/>
  <cols>
    <col min="2" max="2" width="24.7109375" customWidth="1"/>
    <col min="3" max="3" width="23.7109375" customWidth="1"/>
    <col min="4" max="4" width="21.28515625" customWidth="1"/>
    <col min="5" max="5" width="18.28515625" customWidth="1"/>
    <col min="10" max="10" width="19.85546875" customWidth="1"/>
    <col min="11" max="11" width="14.7109375" customWidth="1"/>
    <col min="12" max="12" width="14.28515625" customWidth="1"/>
    <col min="21" max="21" width="12.7109375" customWidth="1"/>
  </cols>
  <sheetData>
    <row r="2" spans="2:12" ht="15.75" thickBot="1" x14ac:dyDescent="0.3"/>
    <row r="3" spans="2:12" ht="16.5" thickTop="1" thickBot="1" x14ac:dyDescent="0.3">
      <c r="B3" s="8"/>
      <c r="C3" s="9" t="s">
        <v>3</v>
      </c>
      <c r="D3" s="8"/>
      <c r="K3" s="10" t="s">
        <v>79</v>
      </c>
      <c r="L3" s="10" t="s">
        <v>86</v>
      </c>
    </row>
    <row r="4" spans="2:12" ht="15.75" thickTop="1" x14ac:dyDescent="0.25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</row>
    <row r="5" spans="2:12" x14ac:dyDescent="0.25">
      <c r="B5" s="4" t="s">
        <v>16</v>
      </c>
      <c r="C5" s="1">
        <v>246704</v>
      </c>
      <c r="D5" s="2">
        <v>878905</v>
      </c>
      <c r="J5" s="4" t="s">
        <v>80</v>
      </c>
      <c r="K5" s="19">
        <f t="shared" ref="K5" si="0">(C6/D6)-1</f>
        <v>20.566951566951566</v>
      </c>
      <c r="L5" s="18">
        <f>Table549[[#This Row],[OUTPUT]]</f>
        <v>20.566951566951566</v>
      </c>
    </row>
    <row r="6" spans="2:12" x14ac:dyDescent="0.25">
      <c r="B6" s="4" t="s">
        <v>22</v>
      </c>
      <c r="C6" s="1">
        <v>757</v>
      </c>
      <c r="D6" s="2">
        <v>35.1</v>
      </c>
      <c r="J6" s="4" t="s">
        <v>81</v>
      </c>
      <c r="K6" s="19">
        <v>0.5</v>
      </c>
      <c r="L6" s="18">
        <f>0.048*((Table181417[[#This Row],[INLET]]-D6)/D6)^0.5</f>
        <v>0.25022984306228219</v>
      </c>
    </row>
    <row r="7" spans="2:12" x14ac:dyDescent="0.25">
      <c r="B7" s="4" t="s">
        <v>17</v>
      </c>
      <c r="C7" s="1"/>
      <c r="D7" s="2">
        <v>11.4</v>
      </c>
      <c r="J7" s="4" t="s">
        <v>82</v>
      </c>
      <c r="K7" s="19">
        <f>K6*0.85</f>
        <v>0.42499999999999999</v>
      </c>
      <c r="L7" s="18">
        <f>L6*L11</f>
        <v>0.42539073320587972</v>
      </c>
    </row>
    <row r="8" spans="2:12" x14ac:dyDescent="0.25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6.9555634694523585</v>
      </c>
      <c r="L8" s="18">
        <f>Table549[[#This Row],[OUTPUT]]</f>
        <v>6.9555634694523585</v>
      </c>
    </row>
    <row r="9" spans="2:12" x14ac:dyDescent="0.25">
      <c r="B9" s="4" t="s">
        <v>19</v>
      </c>
      <c r="C9" s="1">
        <v>83.7</v>
      </c>
      <c r="D9" s="2">
        <v>83.7</v>
      </c>
      <c r="J9" s="4" t="s">
        <v>84</v>
      </c>
      <c r="K9" s="19">
        <f>(4*K8/K7/3.14)^0.5</f>
        <v>4.5660100762419233</v>
      </c>
      <c r="L9" s="18">
        <f>(4*L8/L7/3.14)^0.5</f>
        <v>4.5639125909318397</v>
      </c>
    </row>
    <row r="10" spans="2:12" x14ac:dyDescent="0.25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4.7160100762419237</v>
      </c>
      <c r="L10" s="18">
        <f>L9+0.15</f>
        <v>4.71391259093184</v>
      </c>
    </row>
    <row r="11" spans="2:12" x14ac:dyDescent="0.25">
      <c r="B11" s="4" t="s">
        <v>21</v>
      </c>
      <c r="C11" s="1">
        <v>99</v>
      </c>
      <c r="D11" s="2">
        <v>99</v>
      </c>
      <c r="J11" s="4" t="s">
        <v>87</v>
      </c>
      <c r="K11" s="19"/>
      <c r="L11" s="18">
        <v>1.7</v>
      </c>
    </row>
    <row r="12" spans="2:12" x14ac:dyDescent="0.25">
      <c r="B12" s="4"/>
      <c r="C12" s="1"/>
      <c r="D12" s="2"/>
      <c r="J12" s="22" t="s">
        <v>88</v>
      </c>
      <c r="K12" s="1" t="s">
        <v>3</v>
      </c>
      <c r="L12" s="1"/>
    </row>
    <row r="13" spans="2:12" x14ac:dyDescent="0.25">
      <c r="B13" s="4"/>
      <c r="C13" s="1"/>
      <c r="D13" s="2"/>
      <c r="J13" s="4" t="s">
        <v>89</v>
      </c>
      <c r="K13" s="19">
        <v>38</v>
      </c>
      <c r="L13" s="18"/>
    </row>
    <row r="14" spans="2:12" x14ac:dyDescent="0.25">
      <c r="B14" s="4"/>
      <c r="C14" s="1"/>
      <c r="D14" s="2"/>
      <c r="J14" s="4" t="s">
        <v>90</v>
      </c>
      <c r="K14" s="19">
        <f>PI()/4*(K13*25.4/1000)^2</f>
        <v>0.73168559981678671</v>
      </c>
      <c r="L14" s="18"/>
    </row>
    <row r="15" spans="2:12" x14ac:dyDescent="0.25">
      <c r="B15" s="4"/>
      <c r="C15" s="1"/>
      <c r="D15" s="2"/>
      <c r="J15" s="4" t="s">
        <v>91</v>
      </c>
      <c r="K15" s="19">
        <f>(C5+D5)/((C5/C6)+(D5/D6))</f>
        <v>44.374844597822594</v>
      </c>
      <c r="L15" s="18"/>
    </row>
    <row r="16" spans="2:12" x14ac:dyDescent="0.25">
      <c r="B16" s="4"/>
      <c r="C16" s="1"/>
      <c r="D16" s="2"/>
      <c r="J16" s="4" t="s">
        <v>92</v>
      </c>
      <c r="K16" s="19">
        <f xml:space="preserve"> (C5+D5)/K15/K14/3600</f>
        <v>9.6299427035597187</v>
      </c>
      <c r="L16" s="18"/>
    </row>
    <row r="17" spans="2:21" x14ac:dyDescent="0.25">
      <c r="B17" s="4"/>
      <c r="C17" s="1"/>
      <c r="D17" s="2"/>
      <c r="J17" s="4" t="s">
        <v>93</v>
      </c>
      <c r="K17" s="19">
        <f>K15*(K16^2)</f>
        <v>4115.1365571820907</v>
      </c>
      <c r="L17" s="18"/>
      <c r="M17" t="s">
        <v>95</v>
      </c>
      <c r="N17" s="12" t="s">
        <v>142</v>
      </c>
      <c r="O17" s="12"/>
      <c r="P17" s="12"/>
      <c r="Q17" s="12"/>
      <c r="R17" s="12"/>
      <c r="S17" s="12"/>
      <c r="T17" s="12"/>
      <c r="U17" s="12"/>
    </row>
    <row r="18" spans="2:21" ht="15.75" thickBot="1" x14ac:dyDescent="0.3">
      <c r="J18" s="4" t="s">
        <v>94</v>
      </c>
      <c r="K18" s="19">
        <f>D6*((D5/D6/3600/K14)^2)</f>
        <v>3171.9237342460833</v>
      </c>
      <c r="L18" s="18"/>
      <c r="M18" t="s">
        <v>96</v>
      </c>
    </row>
    <row r="19" spans="2:21" ht="15.75" thickTop="1" x14ac:dyDescent="0.25">
      <c r="C19" s="10" t="s">
        <v>4</v>
      </c>
      <c r="J19" s="22" t="s">
        <v>88</v>
      </c>
      <c r="K19" s="1" t="s">
        <v>97</v>
      </c>
      <c r="L19" s="1"/>
    </row>
    <row r="20" spans="2:21" x14ac:dyDescent="0.25">
      <c r="B20" s="4" t="s">
        <v>2</v>
      </c>
      <c r="C20" s="1" t="s">
        <v>9</v>
      </c>
      <c r="J20" s="4" t="s">
        <v>89</v>
      </c>
      <c r="K20" s="19">
        <v>38</v>
      </c>
      <c r="L20" s="18"/>
    </row>
    <row r="21" spans="2:21" x14ac:dyDescent="0.25">
      <c r="B21" s="4" t="s">
        <v>24</v>
      </c>
      <c r="C21" s="1">
        <v>4900</v>
      </c>
      <c r="J21" s="4" t="s">
        <v>90</v>
      </c>
      <c r="K21" s="19">
        <f>PI()/4*(K20*25.4/1000)^2</f>
        <v>0.73168559981678671</v>
      </c>
      <c r="L21" s="18"/>
    </row>
    <row r="22" spans="2:21" x14ac:dyDescent="0.25">
      <c r="B22" s="4" t="s">
        <v>5</v>
      </c>
      <c r="C22" s="1">
        <v>4800</v>
      </c>
      <c r="J22" s="4" t="s">
        <v>82</v>
      </c>
      <c r="K22" s="19">
        <f>D5/D6/3600/K21</f>
        <v>9.5062188885417775</v>
      </c>
      <c r="L22" s="18"/>
    </row>
    <row r="23" spans="2:21" x14ac:dyDescent="0.25">
      <c r="B23" s="4" t="s">
        <v>6</v>
      </c>
      <c r="C23" s="1" t="s">
        <v>25</v>
      </c>
      <c r="J23" s="4"/>
      <c r="K23" s="21"/>
      <c r="L23" s="18"/>
    </row>
    <row r="24" spans="2:21" x14ac:dyDescent="0.25">
      <c r="B24" s="4" t="s">
        <v>7</v>
      </c>
      <c r="C24" s="1" t="s">
        <v>38</v>
      </c>
      <c r="J24" s="4"/>
      <c r="K24" s="21"/>
      <c r="L24" s="23"/>
    </row>
    <row r="25" spans="2:21" x14ac:dyDescent="0.25">
      <c r="B25" s="4" t="s">
        <v>8</v>
      </c>
      <c r="C25" s="1" t="s">
        <v>38</v>
      </c>
      <c r="J25" s="4" t="s">
        <v>94</v>
      </c>
      <c r="K25" s="21">
        <f>D6*((D5/D6/3600/K21)^2)</f>
        <v>3171.9237342460833</v>
      </c>
      <c r="L25" s="23"/>
      <c r="M25" t="s">
        <v>96</v>
      </c>
    </row>
    <row r="26" spans="2:21" x14ac:dyDescent="0.25">
      <c r="B26" s="4" t="s">
        <v>10</v>
      </c>
      <c r="C26" s="1">
        <v>-1225</v>
      </c>
      <c r="J26" s="22" t="s">
        <v>88</v>
      </c>
      <c r="K26" s="24" t="s">
        <v>0</v>
      </c>
      <c r="L26" s="24"/>
    </row>
    <row r="27" spans="2:21" x14ac:dyDescent="0.25">
      <c r="B27" s="4" t="s">
        <v>11</v>
      </c>
      <c r="C27" s="1">
        <v>-850</v>
      </c>
      <c r="J27" s="4" t="s">
        <v>89</v>
      </c>
      <c r="K27" s="21">
        <v>14</v>
      </c>
      <c r="L27" s="23"/>
    </row>
    <row r="28" spans="2:21" x14ac:dyDescent="0.25">
      <c r="B28" s="4" t="s">
        <v>12</v>
      </c>
      <c r="C28" s="1">
        <v>-225</v>
      </c>
      <c r="J28" s="4" t="s">
        <v>90</v>
      </c>
      <c r="K28" s="21">
        <f>PI()/4*(K27*25.4/1000)^2</f>
        <v>9.9314665903109542E-2</v>
      </c>
      <c r="L28" s="23"/>
    </row>
    <row r="29" spans="2:21" x14ac:dyDescent="0.25">
      <c r="B29" s="4" t="s">
        <v>13</v>
      </c>
      <c r="C29" s="1">
        <v>75</v>
      </c>
      <c r="J29" s="4" t="s">
        <v>98</v>
      </c>
      <c r="K29" s="21">
        <f>C5/C6/3600/K28</f>
        <v>0.91151626982605827</v>
      </c>
      <c r="L29" s="23"/>
    </row>
    <row r="30" spans="2:21" x14ac:dyDescent="0.25">
      <c r="B30" s="4" t="s">
        <v>14</v>
      </c>
      <c r="C30" s="1" t="s">
        <v>27</v>
      </c>
      <c r="J30" s="22" t="s">
        <v>99</v>
      </c>
      <c r="K30" s="24"/>
      <c r="L30" s="24"/>
    </row>
    <row r="31" spans="2:21" x14ac:dyDescent="0.25">
      <c r="B31" s="4" t="s">
        <v>15</v>
      </c>
      <c r="C31" s="1" t="s">
        <v>28</v>
      </c>
      <c r="J31" s="4" t="s">
        <v>72</v>
      </c>
      <c r="K31" s="21">
        <v>150</v>
      </c>
      <c r="L31" s="23"/>
    </row>
    <row r="32" spans="2:21" x14ac:dyDescent="0.25">
      <c r="B32" s="4" t="s">
        <v>29</v>
      </c>
      <c r="C32" s="1" t="s">
        <v>30</v>
      </c>
      <c r="J32" s="4" t="s">
        <v>71</v>
      </c>
      <c r="K32" s="21">
        <f>ROUNDUP(MAX(150,2*C5/C6/60/(PI()/4*K9^2)*1000),0)</f>
        <v>664</v>
      </c>
      <c r="L32" s="23"/>
    </row>
    <row r="33" spans="2:12" x14ac:dyDescent="0.25">
      <c r="B33" s="4" t="s">
        <v>6</v>
      </c>
      <c r="C33" s="1" t="s">
        <v>34</v>
      </c>
      <c r="J33" s="4" t="s">
        <v>70</v>
      </c>
      <c r="K33" s="21">
        <f>ROUNDUP(MAX(350,4*C5/C6/60/(PI()/4*K9^2)*1000),0)</f>
        <v>1327</v>
      </c>
      <c r="L33" s="23"/>
    </row>
    <row r="34" spans="2:12" x14ac:dyDescent="0.25">
      <c r="B34" s="4" t="s">
        <v>35</v>
      </c>
      <c r="C34" s="1">
        <v>4900</v>
      </c>
      <c r="J34" s="4" t="s">
        <v>69</v>
      </c>
      <c r="K34" s="21">
        <f>ROUNDUP(MAX(200,2*C5/C6/60/(PI()/4*K9^2)*1000),0)</f>
        <v>664</v>
      </c>
      <c r="L34" s="23"/>
    </row>
    <row r="35" spans="2:12" x14ac:dyDescent="0.25">
      <c r="B35" s="4" t="s">
        <v>31</v>
      </c>
      <c r="C35" s="1">
        <v>150</v>
      </c>
      <c r="J35" s="4" t="s">
        <v>68</v>
      </c>
      <c r="K35" s="21">
        <f>400+(K13*25.4/2)</f>
        <v>882.59999999999991</v>
      </c>
      <c r="L35" s="23"/>
    </row>
    <row r="36" spans="2:12" x14ac:dyDescent="0.25">
      <c r="B36" s="4" t="s">
        <v>32</v>
      </c>
      <c r="C36" s="1" t="s">
        <v>36</v>
      </c>
      <c r="J36" s="4" t="s">
        <v>67</v>
      </c>
      <c r="K36" s="21">
        <f>MAX(0.5*K10*1000,600)</f>
        <v>2358.0050381209617</v>
      </c>
      <c r="L36" s="23"/>
    </row>
    <row r="37" spans="2:12" x14ac:dyDescent="0.25">
      <c r="B37" s="4" t="s">
        <v>33</v>
      </c>
      <c r="C37" s="1">
        <v>150</v>
      </c>
      <c r="J37" s="4" t="s">
        <v>66</v>
      </c>
      <c r="K37" s="21">
        <v>150</v>
      </c>
      <c r="L37" s="23"/>
    </row>
    <row r="38" spans="2:12" ht="15.75" customHeight="1" x14ac:dyDescent="0.25">
      <c r="B38" s="4" t="s">
        <v>39</v>
      </c>
      <c r="C38" s="1" t="s">
        <v>40</v>
      </c>
      <c r="D38" s="12" t="s">
        <v>41</v>
      </c>
      <c r="E38" s="12"/>
      <c r="F38" s="12"/>
      <c r="G38" s="12"/>
      <c r="H38" s="13" t="s">
        <v>42</v>
      </c>
      <c r="J38" s="4" t="s">
        <v>65</v>
      </c>
      <c r="K38" s="21">
        <f>MAX(0.15*K10*1000,400)</f>
        <v>707.4015114362885</v>
      </c>
      <c r="L38" s="23"/>
    </row>
    <row r="39" spans="2:12" x14ac:dyDescent="0.25">
      <c r="B39" s="4" t="s">
        <v>143</v>
      </c>
      <c r="C39" s="1" t="s">
        <v>146</v>
      </c>
      <c r="J39" s="4" t="s">
        <v>100</v>
      </c>
      <c r="K39" s="21">
        <f>SUM(K31:K38)</f>
        <v>6903.0065495572499</v>
      </c>
      <c r="L39" s="23"/>
    </row>
    <row r="40" spans="2:12" x14ac:dyDescent="0.25">
      <c r="B40" s="4" t="s">
        <v>144</v>
      </c>
      <c r="C40" s="1">
        <v>30</v>
      </c>
      <c r="J40" s="4" t="s">
        <v>64</v>
      </c>
      <c r="K40" s="21">
        <f>K39*0.001/K10</f>
        <v>1.4637387193748517</v>
      </c>
      <c r="L40" s="23"/>
    </row>
    <row r="41" spans="2:12" x14ac:dyDescent="0.25">
      <c r="B41" s="4" t="s">
        <v>145</v>
      </c>
      <c r="C41" s="1">
        <v>10</v>
      </c>
    </row>
    <row r="42" spans="2:12" x14ac:dyDescent="0.25">
      <c r="B42" s="3"/>
      <c r="C42" s="1"/>
    </row>
    <row r="43" spans="2:12" x14ac:dyDescent="0.25">
      <c r="B43" s="3"/>
      <c r="C43" s="1"/>
    </row>
    <row r="44" spans="2:12" x14ac:dyDescent="0.25">
      <c r="B44" s="4"/>
      <c r="C44" s="16" t="s">
        <v>73</v>
      </c>
    </row>
    <row r="45" spans="2:12" x14ac:dyDescent="0.25">
      <c r="B45" s="32" t="s">
        <v>64</v>
      </c>
      <c r="C45" s="15">
        <f xml:space="preserve"> C22/C21</f>
        <v>0.97959183673469385</v>
      </c>
    </row>
    <row r="46" spans="2:12" x14ac:dyDescent="0.25">
      <c r="B46" s="32" t="s">
        <v>65</v>
      </c>
      <c r="C46" s="15">
        <v>150</v>
      </c>
    </row>
    <row r="47" spans="2:12" x14ac:dyDescent="0.25">
      <c r="B47" s="32" t="s">
        <v>66</v>
      </c>
      <c r="C47" s="15">
        <v>150</v>
      </c>
    </row>
    <row r="48" spans="2:12" x14ac:dyDescent="0.25">
      <c r="B48" s="32" t="s">
        <v>67</v>
      </c>
      <c r="C48" s="15">
        <v>2950</v>
      </c>
    </row>
    <row r="49" spans="2:3" x14ac:dyDescent="0.25">
      <c r="B49" s="32" t="s">
        <v>68</v>
      </c>
      <c r="C49" s="15">
        <v>1475</v>
      </c>
    </row>
    <row r="50" spans="2:3" x14ac:dyDescent="0.25">
      <c r="B50" s="32" t="s">
        <v>69</v>
      </c>
      <c r="C50" s="15">
        <v>75</v>
      </c>
    </row>
    <row r="51" spans="2:3" x14ac:dyDescent="0.25">
      <c r="B51" s="32" t="s">
        <v>70</v>
      </c>
      <c r="C51" s="15">
        <v>625</v>
      </c>
    </row>
    <row r="52" spans="2:3" x14ac:dyDescent="0.25">
      <c r="B52" s="32" t="s">
        <v>71</v>
      </c>
      <c r="C52" s="15">
        <v>375</v>
      </c>
    </row>
    <row r="53" spans="2:3" x14ac:dyDescent="0.25">
      <c r="B53" s="32" t="s">
        <v>72</v>
      </c>
      <c r="C53" s="15">
        <v>0</v>
      </c>
    </row>
    <row r="54" spans="2:3" x14ac:dyDescent="0.25">
      <c r="B54" s="32" t="s">
        <v>75</v>
      </c>
      <c r="C54" s="15"/>
    </row>
    <row r="55" spans="2:3" x14ac:dyDescent="0.25">
      <c r="B55" s="32" t="s">
        <v>76</v>
      </c>
      <c r="C55" s="15"/>
    </row>
    <row r="56" spans="2:3" x14ac:dyDescent="0.25">
      <c r="B56" s="32" t="s">
        <v>78</v>
      </c>
      <c r="C56" s="15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E60"/>
  <sheetViews>
    <sheetView topLeftCell="A22" workbookViewId="0">
      <selection activeCell="G49" sqref="G49"/>
    </sheetView>
  </sheetViews>
  <sheetFormatPr defaultRowHeight="15" x14ac:dyDescent="0.25"/>
  <cols>
    <col min="3" max="3" width="26" customWidth="1"/>
    <col min="4" max="5" width="18.140625" customWidth="1"/>
  </cols>
  <sheetData>
    <row r="2" spans="3:5" ht="15.75" thickBot="1" x14ac:dyDescent="0.3"/>
    <row r="3" spans="3:5" ht="16.5" thickTop="1" thickBot="1" x14ac:dyDescent="0.3">
      <c r="C3" s="8"/>
      <c r="D3" s="9" t="s">
        <v>3</v>
      </c>
      <c r="E3" s="8"/>
    </row>
    <row r="4" spans="3:5" ht="15.75" thickTop="1" x14ac:dyDescent="0.25">
      <c r="C4" s="5" t="s">
        <v>2</v>
      </c>
      <c r="D4" s="6" t="s">
        <v>0</v>
      </c>
      <c r="E4" s="7" t="s">
        <v>1</v>
      </c>
    </row>
    <row r="5" spans="3:5" x14ac:dyDescent="0.25">
      <c r="C5" s="4" t="s">
        <v>16</v>
      </c>
      <c r="D5" s="1">
        <v>289048</v>
      </c>
      <c r="E5" s="2">
        <v>334247</v>
      </c>
    </row>
    <row r="6" spans="3:5" x14ac:dyDescent="0.25">
      <c r="C6" s="4" t="s">
        <v>22</v>
      </c>
      <c r="D6" s="1">
        <v>832</v>
      </c>
      <c r="E6" s="2">
        <v>20.8</v>
      </c>
    </row>
    <row r="7" spans="3:5" x14ac:dyDescent="0.25">
      <c r="C7" s="4" t="s">
        <v>17</v>
      </c>
      <c r="D7" s="1"/>
      <c r="E7" s="2">
        <v>18.190000000000001</v>
      </c>
    </row>
    <row r="8" spans="3:5" x14ac:dyDescent="0.25">
      <c r="C8" s="4" t="s">
        <v>18</v>
      </c>
      <c r="D8" s="1">
        <v>227</v>
      </c>
      <c r="E8" s="2">
        <v>227</v>
      </c>
    </row>
    <row r="9" spans="3:5" x14ac:dyDescent="0.25">
      <c r="C9" s="4" t="s">
        <v>19</v>
      </c>
      <c r="D9" s="1">
        <v>42.6</v>
      </c>
      <c r="E9" s="2">
        <v>42.6</v>
      </c>
    </row>
    <row r="10" spans="3:5" x14ac:dyDescent="0.25">
      <c r="C10" s="4" t="s">
        <v>20</v>
      </c>
      <c r="D10" s="1">
        <v>290</v>
      </c>
      <c r="E10" s="2">
        <v>290</v>
      </c>
    </row>
    <row r="11" spans="3:5" x14ac:dyDescent="0.25">
      <c r="C11" s="4" t="s">
        <v>21</v>
      </c>
      <c r="D11" s="1">
        <v>55</v>
      </c>
      <c r="E11" s="2">
        <v>55</v>
      </c>
    </row>
    <row r="12" spans="3:5" x14ac:dyDescent="0.25">
      <c r="C12" s="4"/>
      <c r="D12" s="1"/>
      <c r="E12" s="2"/>
    </row>
    <row r="13" spans="3:5" x14ac:dyDescent="0.25">
      <c r="C13" s="4"/>
      <c r="D13" s="1"/>
      <c r="E13" s="2"/>
    </row>
    <row r="14" spans="3:5" x14ac:dyDescent="0.25">
      <c r="C14" s="4"/>
      <c r="D14" s="1"/>
      <c r="E14" s="2"/>
    </row>
    <row r="15" spans="3:5" x14ac:dyDescent="0.25">
      <c r="C15" s="4"/>
      <c r="D15" s="1"/>
      <c r="E15" s="2"/>
    </row>
    <row r="16" spans="3:5" x14ac:dyDescent="0.25">
      <c r="C16" s="4"/>
      <c r="D16" s="1"/>
      <c r="E16" s="2"/>
    </row>
    <row r="17" spans="3:5" x14ac:dyDescent="0.25">
      <c r="C17" s="4"/>
      <c r="D17" s="1"/>
      <c r="E17" s="2"/>
    </row>
    <row r="18" spans="3:5" ht="15.75" thickBot="1" x14ac:dyDescent="0.3"/>
    <row r="19" spans="3:5" ht="15.75" thickTop="1" x14ac:dyDescent="0.25">
      <c r="D19" s="10" t="s">
        <v>4</v>
      </c>
    </row>
    <row r="20" spans="3:5" x14ac:dyDescent="0.25">
      <c r="C20" s="4" t="s">
        <v>2</v>
      </c>
      <c r="D20" s="1" t="s">
        <v>9</v>
      </c>
    </row>
    <row r="21" spans="3:5" x14ac:dyDescent="0.25">
      <c r="C21" s="4" t="s">
        <v>24</v>
      </c>
      <c r="D21" s="1">
        <v>3400</v>
      </c>
    </row>
    <row r="22" spans="3:5" x14ac:dyDescent="0.25">
      <c r="C22" s="4" t="s">
        <v>5</v>
      </c>
      <c r="D22" s="1">
        <v>12400</v>
      </c>
    </row>
    <row r="23" spans="3:5" x14ac:dyDescent="0.25">
      <c r="C23" s="4" t="s">
        <v>6</v>
      </c>
      <c r="D23" s="1" t="s">
        <v>25</v>
      </c>
    </row>
    <row r="24" spans="3:5" x14ac:dyDescent="0.25">
      <c r="C24" s="4" t="s">
        <v>7</v>
      </c>
      <c r="D24" s="1" t="s">
        <v>38</v>
      </c>
    </row>
    <row r="25" spans="3:5" x14ac:dyDescent="0.25">
      <c r="C25" s="4" t="s">
        <v>8</v>
      </c>
      <c r="D25" s="1" t="s">
        <v>38</v>
      </c>
    </row>
    <row r="26" spans="3:5" x14ac:dyDescent="0.25">
      <c r="C26" s="4" t="s">
        <v>10</v>
      </c>
      <c r="D26" s="1">
        <v>-850</v>
      </c>
    </row>
    <row r="27" spans="3:5" x14ac:dyDescent="0.25">
      <c r="C27" s="4" t="s">
        <v>11</v>
      </c>
      <c r="D27" s="1">
        <v>-125</v>
      </c>
    </row>
    <row r="28" spans="3:5" x14ac:dyDescent="0.25">
      <c r="C28" s="4" t="s">
        <v>12</v>
      </c>
      <c r="D28" s="1">
        <v>4975</v>
      </c>
    </row>
    <row r="29" spans="3:5" x14ac:dyDescent="0.25">
      <c r="C29" s="4" t="s">
        <v>13</v>
      </c>
      <c r="D29" s="1">
        <v>5625</v>
      </c>
    </row>
    <row r="30" spans="3:5" x14ac:dyDescent="0.25">
      <c r="C30" s="4" t="s">
        <v>14</v>
      </c>
      <c r="D30" s="1" t="s">
        <v>48</v>
      </c>
    </row>
    <row r="31" spans="3:5" x14ac:dyDescent="0.25">
      <c r="C31" s="4" t="s">
        <v>14</v>
      </c>
      <c r="D31" s="1" t="s">
        <v>46</v>
      </c>
    </row>
    <row r="32" spans="3:5" x14ac:dyDescent="0.25">
      <c r="C32" s="4" t="s">
        <v>15</v>
      </c>
      <c r="D32" s="1" t="s">
        <v>28</v>
      </c>
    </row>
    <row r="33" spans="3:4" x14ac:dyDescent="0.25">
      <c r="C33" s="4" t="s">
        <v>29</v>
      </c>
      <c r="D33" s="1" t="s">
        <v>30</v>
      </c>
    </row>
    <row r="34" spans="3:4" x14ac:dyDescent="0.25">
      <c r="C34" s="4" t="s">
        <v>6</v>
      </c>
      <c r="D34" s="1" t="s">
        <v>34</v>
      </c>
    </row>
    <row r="35" spans="3:4" x14ac:dyDescent="0.25">
      <c r="C35" s="4" t="s">
        <v>35</v>
      </c>
      <c r="D35" s="1">
        <v>3400</v>
      </c>
    </row>
    <row r="36" spans="3:4" x14ac:dyDescent="0.25">
      <c r="C36" s="4" t="s">
        <v>31</v>
      </c>
      <c r="D36" s="1">
        <v>150</v>
      </c>
    </row>
    <row r="37" spans="3:4" x14ac:dyDescent="0.25">
      <c r="C37" s="4" t="s">
        <v>32</v>
      </c>
      <c r="D37" s="1" t="s">
        <v>47</v>
      </c>
    </row>
    <row r="38" spans="3:4" x14ac:dyDescent="0.25">
      <c r="C38" s="4" t="s">
        <v>33</v>
      </c>
      <c r="D38" s="1">
        <v>150</v>
      </c>
    </row>
    <row r="39" spans="3:4" x14ac:dyDescent="0.25">
      <c r="C39" s="4" t="s">
        <v>49</v>
      </c>
      <c r="D39" s="1">
        <v>5</v>
      </c>
    </row>
    <row r="40" spans="3:4" x14ac:dyDescent="0.25">
      <c r="C40" s="4" t="s">
        <v>50</v>
      </c>
      <c r="D40" s="1">
        <v>3400</v>
      </c>
    </row>
    <row r="41" spans="3:4" x14ac:dyDescent="0.25">
      <c r="C41" s="4" t="s">
        <v>51</v>
      </c>
      <c r="D41" s="1" t="s">
        <v>54</v>
      </c>
    </row>
    <row r="42" spans="3:4" x14ac:dyDescent="0.25">
      <c r="C42" s="4" t="s">
        <v>52</v>
      </c>
      <c r="D42" s="1" t="s">
        <v>55</v>
      </c>
    </row>
    <row r="43" spans="3:4" x14ac:dyDescent="0.25">
      <c r="C43" s="4" t="s">
        <v>53</v>
      </c>
      <c r="D43" s="14">
        <v>0.5</v>
      </c>
    </row>
    <row r="44" spans="3:4" x14ac:dyDescent="0.25">
      <c r="C44" s="4" t="s">
        <v>56</v>
      </c>
      <c r="D44" s="1">
        <v>600</v>
      </c>
    </row>
    <row r="45" spans="3:4" x14ac:dyDescent="0.25">
      <c r="C45" s="4" t="s">
        <v>57</v>
      </c>
      <c r="D45" s="1" t="s">
        <v>25</v>
      </c>
    </row>
    <row r="46" spans="3:4" x14ac:dyDescent="0.25">
      <c r="C46" s="4" t="s">
        <v>58</v>
      </c>
      <c r="D46" s="1">
        <v>10</v>
      </c>
    </row>
    <row r="47" spans="3:4" x14ac:dyDescent="0.25">
      <c r="C47" s="4"/>
      <c r="D47" s="1"/>
    </row>
    <row r="48" spans="3:4" x14ac:dyDescent="0.25">
      <c r="C48" s="4"/>
      <c r="D48" s="11" t="s">
        <v>23</v>
      </c>
    </row>
    <row r="49" spans="3:4" x14ac:dyDescent="0.25">
      <c r="C49" s="4"/>
      <c r="D49" s="11"/>
    </row>
    <row r="50" spans="3:4" x14ac:dyDescent="0.25">
      <c r="C50" s="3"/>
      <c r="D50" s="11"/>
    </row>
    <row r="51" spans="3:4" x14ac:dyDescent="0.25">
      <c r="C51" s="3"/>
      <c r="D51" s="11"/>
    </row>
    <row r="52" spans="3:4" x14ac:dyDescent="0.25">
      <c r="C52" s="3"/>
      <c r="D52" s="11"/>
    </row>
    <row r="53" spans="3:4" x14ac:dyDescent="0.25">
      <c r="C53" s="3"/>
      <c r="D53" s="11"/>
    </row>
    <row r="54" spans="3:4" x14ac:dyDescent="0.25">
      <c r="D54" s="11"/>
    </row>
    <row r="55" spans="3:4" x14ac:dyDescent="0.25">
      <c r="D55" s="11"/>
    </row>
    <row r="56" spans="3:4" x14ac:dyDescent="0.25">
      <c r="D56" s="11"/>
    </row>
    <row r="57" spans="3:4" x14ac:dyDescent="0.25">
      <c r="D57" s="11"/>
    </row>
    <row r="58" spans="3:4" x14ac:dyDescent="0.25">
      <c r="D58" s="11"/>
    </row>
    <row r="59" spans="3:4" x14ac:dyDescent="0.25">
      <c r="D59" s="11"/>
    </row>
    <row r="60" spans="3:4" x14ac:dyDescent="0.25">
      <c r="D60" s="1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M57"/>
  <sheetViews>
    <sheetView tabSelected="1" workbookViewId="0">
      <selection activeCell="D22" sqref="D22"/>
    </sheetView>
  </sheetViews>
  <sheetFormatPr defaultRowHeight="15" x14ac:dyDescent="0.25"/>
  <cols>
    <col min="3" max="3" width="25" customWidth="1"/>
    <col min="4" max="4" width="22.5703125" customWidth="1"/>
    <col min="5" max="5" width="18.42578125" customWidth="1"/>
    <col min="11" max="11" width="13.85546875" customWidth="1"/>
    <col min="12" max="12" width="13" customWidth="1"/>
    <col min="13" max="13" width="11" customWidth="1"/>
  </cols>
  <sheetData>
    <row r="2" spans="3:13" ht="15.75" thickBot="1" x14ac:dyDescent="0.3"/>
    <row r="3" spans="3:13" ht="16.5" thickTop="1" thickBot="1" x14ac:dyDescent="0.3">
      <c r="C3" s="8"/>
      <c r="D3" s="9" t="s">
        <v>3</v>
      </c>
      <c r="E3" s="8"/>
      <c r="L3" s="26" t="s">
        <v>109</v>
      </c>
    </row>
    <row r="4" spans="3:13" ht="15.75" thickTop="1" x14ac:dyDescent="0.25">
      <c r="C4" s="5" t="s">
        <v>2</v>
      </c>
      <c r="D4" s="6" t="s">
        <v>0</v>
      </c>
      <c r="E4" s="7" t="s">
        <v>1</v>
      </c>
      <c r="K4" s="4" t="s">
        <v>2</v>
      </c>
      <c r="L4" s="19" t="s">
        <v>23</v>
      </c>
    </row>
    <row r="5" spans="3:13" x14ac:dyDescent="0.25">
      <c r="C5" s="4" t="s">
        <v>16</v>
      </c>
      <c r="D5" s="1">
        <v>240105</v>
      </c>
      <c r="E5" s="2">
        <v>6599</v>
      </c>
      <c r="K5" s="4" t="s">
        <v>110</v>
      </c>
      <c r="L5" s="19">
        <f t="shared" ref="L5" si="0" xml:space="preserve"> (E9+1) * 14.5</f>
        <v>72.5</v>
      </c>
    </row>
    <row r="6" spans="3:13" x14ac:dyDescent="0.25">
      <c r="C6" s="4" t="s">
        <v>22</v>
      </c>
      <c r="D6" s="1">
        <v>781</v>
      </c>
      <c r="E6" s="2">
        <v>5.69</v>
      </c>
      <c r="K6" s="4" t="s">
        <v>87</v>
      </c>
      <c r="L6" s="19">
        <f>IF(L5&lt;15,(0.1821+0.0029*L5+0.046*LN(L5)),IF(L5&lt;=40,0.35,(0.43-0.023*LN(L5))))*0.3048</f>
        <v>0.10103434476673225</v>
      </c>
      <c r="M6" s="27" t="s">
        <v>111</v>
      </c>
    </row>
    <row r="7" spans="3:13" x14ac:dyDescent="0.25">
      <c r="C7" s="4" t="s">
        <v>17</v>
      </c>
      <c r="D7" s="1"/>
      <c r="E7" s="2">
        <v>29.9</v>
      </c>
      <c r="K7" s="4" t="s">
        <v>87</v>
      </c>
      <c r="L7" s="19">
        <f>(0.35-0.01*((L5-100)/100))*0.3048</f>
        <v>0.10751819999999999</v>
      </c>
      <c r="M7" s="29" t="s">
        <v>108</v>
      </c>
    </row>
    <row r="8" spans="3:13" x14ac:dyDescent="0.25">
      <c r="C8" s="4" t="s">
        <v>18</v>
      </c>
      <c r="D8" s="1">
        <v>47</v>
      </c>
      <c r="E8" s="2">
        <v>47</v>
      </c>
      <c r="K8" s="4" t="s">
        <v>75</v>
      </c>
      <c r="L8" s="19">
        <f>L6*((D6-E6)/E6)^0.5</f>
        <v>1.1793713919778854</v>
      </c>
    </row>
    <row r="9" spans="3:13" x14ac:dyDescent="0.25">
      <c r="C9" s="4" t="s">
        <v>19</v>
      </c>
      <c r="D9" s="1">
        <v>4</v>
      </c>
      <c r="E9" s="2">
        <v>4</v>
      </c>
      <c r="K9" s="4" t="s">
        <v>82</v>
      </c>
      <c r="L9" s="19">
        <f>L8*0.75</f>
        <v>0.88452854398341407</v>
      </c>
    </row>
    <row r="10" spans="3:13" x14ac:dyDescent="0.25">
      <c r="C10" s="4" t="s">
        <v>20</v>
      </c>
      <c r="D10" s="1">
        <v>100</v>
      </c>
      <c r="E10" s="2">
        <v>100</v>
      </c>
      <c r="K10" s="4" t="s">
        <v>112</v>
      </c>
      <c r="L10" s="19">
        <v>2.6</v>
      </c>
    </row>
    <row r="11" spans="3:13" x14ac:dyDescent="0.25">
      <c r="C11" s="4" t="s">
        <v>21</v>
      </c>
      <c r="D11" s="1">
        <v>7</v>
      </c>
      <c r="E11" s="2">
        <v>7</v>
      </c>
      <c r="K11" s="4" t="s">
        <v>113</v>
      </c>
      <c r="L11" s="19">
        <v>3.5</v>
      </c>
      <c r="M11" s="28" t="s">
        <v>115</v>
      </c>
    </row>
    <row r="12" spans="3:13" x14ac:dyDescent="0.25">
      <c r="C12" s="4"/>
      <c r="D12" s="1"/>
      <c r="E12" s="2"/>
      <c r="K12" s="4" t="s">
        <v>114</v>
      </c>
      <c r="L12" s="19">
        <f>L10*L11</f>
        <v>9.1</v>
      </c>
    </row>
    <row r="13" spans="3:13" x14ac:dyDescent="0.25">
      <c r="C13" s="4"/>
      <c r="D13" s="1"/>
      <c r="E13" s="2"/>
      <c r="K13" s="4" t="s">
        <v>116</v>
      </c>
      <c r="L13" s="19">
        <f>PI()/4*L10^2</f>
        <v>5.3092915845667505</v>
      </c>
    </row>
    <row r="14" spans="3:13" x14ac:dyDescent="0.25">
      <c r="C14" s="4"/>
      <c r="D14" s="1"/>
      <c r="E14" s="2"/>
      <c r="K14" s="4" t="s">
        <v>117</v>
      </c>
      <c r="L14" s="19">
        <v>0.32500000000000001</v>
      </c>
    </row>
    <row r="15" spans="3:13" x14ac:dyDescent="0.25">
      <c r="C15" s="4"/>
      <c r="D15" s="1"/>
      <c r="E15" s="2"/>
      <c r="K15" s="4" t="s">
        <v>118</v>
      </c>
      <c r="L15" s="19">
        <v>0.4</v>
      </c>
    </row>
    <row r="16" spans="3:13" x14ac:dyDescent="0.25">
      <c r="C16" s="4"/>
      <c r="D16" s="1"/>
      <c r="E16" s="2"/>
      <c r="K16" s="4" t="s">
        <v>119</v>
      </c>
      <c r="L16" s="19">
        <f>(L14+L15)/L10</f>
        <v>0.27884615384615385</v>
      </c>
    </row>
    <row r="17" spans="3:12" x14ac:dyDescent="0.25">
      <c r="C17" s="4"/>
      <c r="D17" s="1"/>
      <c r="E17" s="2"/>
      <c r="K17" s="4" t="s">
        <v>120</v>
      </c>
      <c r="L17" s="19">
        <f>2*ACOS(1-2*L16)</f>
        <v>2.225252421969004</v>
      </c>
    </row>
    <row r="18" spans="3:12" ht="15.75" thickBot="1" x14ac:dyDescent="0.3">
      <c r="K18" s="4" t="s">
        <v>121</v>
      </c>
      <c r="L18" s="19">
        <f>(L17-SIN(L17))/2/PI()</f>
        <v>0.22788971143346665</v>
      </c>
    </row>
    <row r="19" spans="3:12" ht="15.75" thickTop="1" x14ac:dyDescent="0.25">
      <c r="D19" s="10" t="s">
        <v>4</v>
      </c>
      <c r="K19" s="4" t="s">
        <v>122</v>
      </c>
      <c r="L19" s="19">
        <f>(D5*(1+0)/D6/60)*(7/L12)</f>
        <v>3.9414458780655965</v>
      </c>
    </row>
    <row r="20" spans="3:12" x14ac:dyDescent="0.25">
      <c r="C20" s="4" t="s">
        <v>2</v>
      </c>
      <c r="D20" s="1" t="s">
        <v>9</v>
      </c>
      <c r="K20" s="4" t="s">
        <v>123</v>
      </c>
      <c r="L20" s="19">
        <f>L18*L13</f>
        <v>1.2099329271230497</v>
      </c>
    </row>
    <row r="21" spans="3:12" x14ac:dyDescent="0.25">
      <c r="C21" s="4" t="s">
        <v>24</v>
      </c>
      <c r="D21" s="1">
        <v>2125</v>
      </c>
      <c r="K21" s="4" t="s">
        <v>124</v>
      </c>
      <c r="L21" s="19">
        <f>L19+L20</f>
        <v>5.1513788051886458</v>
      </c>
    </row>
    <row r="22" spans="3:12" x14ac:dyDescent="0.25">
      <c r="C22" s="4" t="s">
        <v>5</v>
      </c>
      <c r="D22" s="1">
        <v>6450</v>
      </c>
      <c r="K22" s="4" t="s">
        <v>125</v>
      </c>
      <c r="L22" s="19">
        <f>L21/L13</f>
        <v>0.9702572787983369</v>
      </c>
    </row>
    <row r="23" spans="3:12" x14ac:dyDescent="0.25">
      <c r="C23" s="4" t="s">
        <v>6</v>
      </c>
      <c r="D23" s="1" t="s">
        <v>25</v>
      </c>
      <c r="K23" s="4" t="s">
        <v>126</v>
      </c>
      <c r="L23" s="19">
        <v>0.85</v>
      </c>
    </row>
    <row r="24" spans="3:12" x14ac:dyDescent="0.25">
      <c r="C24" s="4" t="s">
        <v>7</v>
      </c>
      <c r="D24" s="1" t="s">
        <v>26</v>
      </c>
      <c r="K24" s="4" t="s">
        <v>120</v>
      </c>
      <c r="L24" s="19">
        <f>2*ACOS(1-2*L23)</f>
        <v>4.6923876468112997</v>
      </c>
    </row>
    <row r="25" spans="3:12" x14ac:dyDescent="0.25">
      <c r="C25" s="4" t="s">
        <v>8</v>
      </c>
      <c r="D25" s="1" t="s">
        <v>26</v>
      </c>
      <c r="K25" s="4" t="s">
        <v>127</v>
      </c>
      <c r="L25" s="19">
        <f>(L24-SIN(L24))/2/PI()-L22</f>
        <v>-6.4317480985430442E-2</v>
      </c>
    </row>
    <row r="26" spans="3:12" x14ac:dyDescent="0.25">
      <c r="C26" s="4" t="s">
        <v>10</v>
      </c>
      <c r="D26" s="1">
        <v>325</v>
      </c>
      <c r="K26" s="4" t="s">
        <v>128</v>
      </c>
      <c r="L26" s="19">
        <f>L23*L10</f>
        <v>2.21</v>
      </c>
    </row>
    <row r="27" spans="3:12" x14ac:dyDescent="0.25">
      <c r="C27" s="4" t="s">
        <v>11</v>
      </c>
      <c r="D27" s="1">
        <v>725</v>
      </c>
      <c r="K27" s="4" t="s">
        <v>129</v>
      </c>
      <c r="L27" s="21">
        <f>L10-L26</f>
        <v>0.39000000000000012</v>
      </c>
    </row>
    <row r="28" spans="3:12" x14ac:dyDescent="0.25">
      <c r="C28" s="4" t="s">
        <v>12</v>
      </c>
      <c r="D28" s="1">
        <v>1400</v>
      </c>
      <c r="K28" s="4" t="s">
        <v>130</v>
      </c>
      <c r="L28" s="21">
        <f>L27/L9</f>
        <v>0.44091284860481911</v>
      </c>
    </row>
    <row r="29" spans="3:12" x14ac:dyDescent="0.25">
      <c r="C29" s="4" t="s">
        <v>13</v>
      </c>
      <c r="D29" s="1">
        <v>1800</v>
      </c>
      <c r="K29" s="4" t="s">
        <v>131</v>
      </c>
      <c r="L29" s="21">
        <f>L13-L21</f>
        <v>0.15791277937810477</v>
      </c>
    </row>
    <row r="30" spans="3:12" x14ac:dyDescent="0.25">
      <c r="C30" s="4" t="s">
        <v>14</v>
      </c>
      <c r="D30" s="1"/>
      <c r="K30" s="4" t="s">
        <v>132</v>
      </c>
      <c r="L30" s="21">
        <f>E5/E6/3600/L29</f>
        <v>2.0400747644666137</v>
      </c>
    </row>
    <row r="31" spans="3:12" x14ac:dyDescent="0.25">
      <c r="C31" s="4" t="s">
        <v>15</v>
      </c>
      <c r="D31" s="1" t="s">
        <v>28</v>
      </c>
      <c r="K31" s="4" t="s">
        <v>133</v>
      </c>
      <c r="L31" s="21">
        <f>L30*L28</f>
        <v>0.89949517576778004</v>
      </c>
    </row>
    <row r="32" spans="3:12" x14ac:dyDescent="0.25">
      <c r="C32" s="4" t="s">
        <v>29</v>
      </c>
      <c r="D32" s="1"/>
      <c r="K32" s="1" t="s">
        <v>88</v>
      </c>
      <c r="L32" s="1" t="s">
        <v>3</v>
      </c>
    </row>
    <row r="33" spans="3:13" x14ac:dyDescent="0.25">
      <c r="C33" s="4" t="s">
        <v>6</v>
      </c>
      <c r="D33" s="1"/>
      <c r="K33" s="30" t="s">
        <v>84</v>
      </c>
      <c r="L33" s="31">
        <v>12</v>
      </c>
    </row>
    <row r="34" spans="3:13" x14ac:dyDescent="0.25">
      <c r="C34" s="4" t="s">
        <v>35</v>
      </c>
      <c r="D34" s="1"/>
      <c r="K34" s="30" t="s">
        <v>90</v>
      </c>
      <c r="L34" s="31">
        <f>((PI()/4)*(L33*25.4/1000)^2)</f>
        <v>7.296587699003966E-2</v>
      </c>
    </row>
    <row r="35" spans="3:13" x14ac:dyDescent="0.25">
      <c r="C35" s="4" t="s">
        <v>31</v>
      </c>
      <c r="D35" s="1"/>
      <c r="K35" s="30" t="s">
        <v>134</v>
      </c>
      <c r="L35" s="31">
        <f>(D5+E5)/((D5/D6)+(E5/E6))</f>
        <v>168.14764916122257</v>
      </c>
    </row>
    <row r="36" spans="3:13" x14ac:dyDescent="0.25">
      <c r="C36" s="4" t="s">
        <v>32</v>
      </c>
      <c r="D36" s="1"/>
      <c r="K36" s="30" t="s">
        <v>92</v>
      </c>
      <c r="L36" s="31">
        <f>(D5+E5)/L35/3600/L34</f>
        <v>5.5855132156698906</v>
      </c>
    </row>
    <row r="37" spans="3:13" x14ac:dyDescent="0.25">
      <c r="C37" s="4" t="s">
        <v>33</v>
      </c>
      <c r="D37" s="1"/>
      <c r="K37" s="30" t="s">
        <v>135</v>
      </c>
      <c r="L37" s="31">
        <f>L35*L36*L36</f>
        <v>5245.8632765602606</v>
      </c>
      <c r="M37" s="27">
        <v>6000</v>
      </c>
    </row>
    <row r="38" spans="3:13" x14ac:dyDescent="0.25">
      <c r="C38" s="4" t="s">
        <v>43</v>
      </c>
      <c r="D38" s="1" t="s">
        <v>44</v>
      </c>
      <c r="K38" s="30" t="s">
        <v>136</v>
      </c>
      <c r="L38" s="31">
        <f>E6*((E5/E6/3600/L34)^2)</f>
        <v>110.91732200338454</v>
      </c>
      <c r="M38" s="27">
        <v>3750</v>
      </c>
    </row>
    <row r="39" spans="3:13" x14ac:dyDescent="0.25">
      <c r="C39" s="4" t="s">
        <v>3</v>
      </c>
      <c r="D39" s="1">
        <v>18</v>
      </c>
      <c r="K39" s="17" t="s">
        <v>88</v>
      </c>
      <c r="L39" s="1" t="s">
        <v>137</v>
      </c>
    </row>
    <row r="40" spans="3:13" x14ac:dyDescent="0.25">
      <c r="C40" s="25" t="s">
        <v>139</v>
      </c>
      <c r="D40" s="1">
        <v>8</v>
      </c>
      <c r="K40" s="30" t="s">
        <v>84</v>
      </c>
      <c r="L40" s="31">
        <v>6</v>
      </c>
    </row>
    <row r="41" spans="3:13" x14ac:dyDescent="0.25">
      <c r="C41" s="25" t="s">
        <v>140</v>
      </c>
      <c r="D41" s="1">
        <v>14</v>
      </c>
      <c r="K41" s="30" t="s">
        <v>90</v>
      </c>
      <c r="L41" s="31">
        <f>(PI()/4)*((L40*25.4/1000)^2)</f>
        <v>1.8241469247509915E-2</v>
      </c>
    </row>
    <row r="42" spans="3:13" x14ac:dyDescent="0.25">
      <c r="C42" s="3"/>
      <c r="D42" s="1"/>
      <c r="K42" s="30" t="s">
        <v>92</v>
      </c>
      <c r="L42" s="31">
        <f>E5/E6/3600/L41</f>
        <v>17.660522396792771</v>
      </c>
    </row>
    <row r="43" spans="3:13" x14ac:dyDescent="0.25">
      <c r="C43" s="3"/>
      <c r="D43" s="1"/>
      <c r="K43" s="30" t="s">
        <v>136</v>
      </c>
      <c r="L43" s="31">
        <f>E6*L42^2</f>
        <v>1774.6771520541527</v>
      </c>
      <c r="M43" s="27">
        <v>3750</v>
      </c>
    </row>
    <row r="44" spans="3:13" x14ac:dyDescent="0.25">
      <c r="C44" s="3"/>
      <c r="D44" s="1"/>
      <c r="K44" s="17" t="s">
        <v>88</v>
      </c>
      <c r="L44" s="1" t="s">
        <v>0</v>
      </c>
    </row>
    <row r="45" spans="3:13" x14ac:dyDescent="0.25">
      <c r="C45" s="4"/>
      <c r="D45" s="16" t="s">
        <v>73</v>
      </c>
      <c r="K45" s="30" t="s">
        <v>84</v>
      </c>
      <c r="L45" s="31">
        <v>14</v>
      </c>
    </row>
    <row r="46" spans="3:13" x14ac:dyDescent="0.25">
      <c r="C46" s="4" t="s">
        <v>64</v>
      </c>
      <c r="D46" s="15">
        <f>D22/D21</f>
        <v>3.0352941176470587</v>
      </c>
      <c r="K46" s="30" t="s">
        <v>90</v>
      </c>
      <c r="L46" s="31">
        <f>(PI()/4)*((L45*25.4/1000)^2)</f>
        <v>9.9314665903109542E-2</v>
      </c>
    </row>
    <row r="47" spans="3:13" x14ac:dyDescent="0.25">
      <c r="C47" s="4" t="s">
        <v>141</v>
      </c>
      <c r="D47" s="15">
        <v>0</v>
      </c>
      <c r="K47" s="30" t="s">
        <v>138</v>
      </c>
      <c r="L47" s="31">
        <f>D5/D6/3600/L46</f>
        <v>0.85987294271389958</v>
      </c>
      <c r="M47" s="27">
        <v>1</v>
      </c>
    </row>
    <row r="48" spans="3:13" x14ac:dyDescent="0.25">
      <c r="C48" s="4"/>
      <c r="D48" s="15"/>
      <c r="K48" s="17"/>
      <c r="L48" s="1"/>
    </row>
    <row r="49" spans="3:12" x14ac:dyDescent="0.25">
      <c r="C49" s="4"/>
      <c r="D49" s="15"/>
      <c r="K49" s="30" t="s">
        <v>114</v>
      </c>
      <c r="L49" s="31">
        <f xml:space="preserve"> L31+1.5*((L40+L33)*25.4/1000)</f>
        <v>1.58529517576778</v>
      </c>
    </row>
    <row r="50" spans="3:12" x14ac:dyDescent="0.25">
      <c r="C50" s="4" t="s">
        <v>68</v>
      </c>
      <c r="D50" s="15">
        <v>325</v>
      </c>
      <c r="L50" s="31"/>
    </row>
    <row r="51" spans="3:12" x14ac:dyDescent="0.25">
      <c r="C51" s="4" t="s">
        <v>69</v>
      </c>
      <c r="D51" s="15">
        <v>400</v>
      </c>
      <c r="L51" s="31"/>
    </row>
    <row r="52" spans="3:12" x14ac:dyDescent="0.25">
      <c r="C52" s="4" t="s">
        <v>70</v>
      </c>
      <c r="D52" s="15">
        <v>675</v>
      </c>
    </row>
    <row r="53" spans="3:12" x14ac:dyDescent="0.25">
      <c r="C53" s="4" t="s">
        <v>71</v>
      </c>
      <c r="D53" s="15">
        <v>400</v>
      </c>
    </row>
    <row r="54" spans="3:12" x14ac:dyDescent="0.25">
      <c r="C54" s="4" t="s">
        <v>72</v>
      </c>
      <c r="D54" s="15">
        <v>325</v>
      </c>
    </row>
    <row r="55" spans="3:12" x14ac:dyDescent="0.25">
      <c r="C55" s="4" t="s">
        <v>75</v>
      </c>
      <c r="D55" s="15"/>
    </row>
    <row r="56" spans="3:12" x14ac:dyDescent="0.25">
      <c r="C56" s="4" t="s">
        <v>76</v>
      </c>
      <c r="D56" s="15">
        <f xml:space="preserve"> 875 +D42</f>
        <v>875</v>
      </c>
    </row>
    <row r="57" spans="3:12" x14ac:dyDescent="0.25">
      <c r="C57" s="4" t="s">
        <v>78</v>
      </c>
      <c r="D57" s="15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D-1001</vt:lpstr>
      <vt:lpstr>D-2011</vt:lpstr>
      <vt:lpstr>D-2002</vt:lpstr>
      <vt:lpstr>D-2003</vt:lpstr>
      <vt:lpstr>D-2004</vt:lpstr>
      <vt:lpstr>D-2005</vt:lpstr>
      <vt:lpstr>D-3001</vt:lpstr>
      <vt:lpstr>D-6001</vt:lpstr>
      <vt:lpstr>D-3002</vt:lpstr>
      <vt:lpstr>D-3011</vt:lpstr>
      <vt:lpstr>D-3012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 Mohamadreza</cp:lastModifiedBy>
  <dcterms:created xsi:type="dcterms:W3CDTF">2015-06-05T18:17:20Z</dcterms:created>
  <dcterms:modified xsi:type="dcterms:W3CDTF">2022-01-24T12:53:44Z</dcterms:modified>
</cp:coreProperties>
</file>