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Manuals\Tutorial\Seperator design\Pressure vessel\MEKPCO Pressure Vesssel\"/>
    </mc:Choice>
  </mc:AlternateContent>
  <xr:revisionPtr revIDLastSave="0" documentId="13_ncr:1_{F9665C7C-A20B-41A4-A6AE-0CD6447B0E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-1001" sheetId="5" r:id="rId1"/>
    <sheet name="D-2011" sheetId="8" r:id="rId2"/>
    <sheet name="D-2002" sheetId="1" r:id="rId3"/>
    <sheet name="D-2003" sheetId="2" r:id="rId4"/>
    <sheet name="D-2004" sheetId="3" r:id="rId5"/>
    <sheet name="D-2005" sheetId="4" r:id="rId6"/>
    <sheet name="D-3001" sheetId="6" r:id="rId7"/>
    <sheet name="D-6001" sheetId="9" r:id="rId8"/>
    <sheet name="D-3002" sheetId="7" r:id="rId9"/>
    <sheet name="D-3002 (2)" sheetId="13" r:id="rId10"/>
    <sheet name="Sheet3" sheetId="18" r:id="rId11"/>
    <sheet name="D-5001" sheetId="16" r:id="rId12"/>
    <sheet name="D-5003" sheetId="14" r:id="rId13"/>
    <sheet name="D-5002" sheetId="15" r:id="rId14"/>
    <sheet name="D-3011" sheetId="10" r:id="rId15"/>
    <sheet name="D-3012" sheetId="11" r:id="rId16"/>
    <sheet name="D-7001" sheetId="17" r:id="rId17"/>
    <sheet name="Sheet1" sheetId="12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6" i="5" l="1"/>
  <c r="V4" i="5"/>
  <c r="V5" i="5"/>
  <c r="T4" i="5"/>
  <c r="T6" i="5" s="1"/>
  <c r="T5" i="5"/>
  <c r="R6" i="5"/>
  <c r="R5" i="5"/>
  <c r="R4" i="5"/>
  <c r="O6" i="5"/>
  <c r="O5" i="5"/>
  <c r="O7" i="5" s="1"/>
  <c r="N9" i="10"/>
  <c r="N8" i="10"/>
  <c r="N7" i="10"/>
  <c r="N6" i="10"/>
  <c r="N5" i="10"/>
  <c r="H4" i="17"/>
  <c r="H6" i="17"/>
  <c r="O8" i="5" l="1"/>
  <c r="H7" i="17"/>
  <c r="G15" i="5"/>
  <c r="G16" i="5" s="1"/>
  <c r="G18" i="5" s="1"/>
  <c r="I16" i="5" s="1"/>
  <c r="G11" i="5"/>
  <c r="G12" i="5" s="1"/>
  <c r="I12" i="5" s="1"/>
  <c r="G4" i="5"/>
  <c r="G5" i="5" s="1"/>
  <c r="G7" i="5" s="1"/>
  <c r="L6" i="5" s="1"/>
  <c r="I5" i="5"/>
  <c r="I6" i="5" s="1"/>
  <c r="I7" i="5" s="1"/>
  <c r="G6" i="5"/>
  <c r="D5" i="5"/>
  <c r="I11" i="5" s="1"/>
  <c r="H5" i="17"/>
  <c r="H8" i="17" s="1"/>
  <c r="H6" i="8"/>
  <c r="H7" i="8" s="1"/>
  <c r="H24" i="8" s="1"/>
  <c r="H5" i="8"/>
  <c r="H8" i="8" s="1"/>
  <c r="H4" i="8"/>
  <c r="H6" i="16"/>
  <c r="H7" i="16" s="1"/>
  <c r="L35" i="14"/>
  <c r="H6" i="13"/>
  <c r="H7" i="13" s="1"/>
  <c r="H4" i="16"/>
  <c r="H5" i="16"/>
  <c r="H8" i="16" s="1"/>
  <c r="H11" i="16" s="1"/>
  <c r="H18" i="16" s="1"/>
  <c r="H24" i="16" s="1"/>
  <c r="L5" i="16"/>
  <c r="L7" i="16" s="1"/>
  <c r="L12" i="16"/>
  <c r="L19" i="16" s="1"/>
  <c r="L13" i="16"/>
  <c r="L16" i="16"/>
  <c r="L17" i="16" s="1"/>
  <c r="L18" i="16" s="1"/>
  <c r="L20" i="16" s="1"/>
  <c r="L24" i="16"/>
  <c r="L26" i="16"/>
  <c r="L27" i="16" s="1"/>
  <c r="L34" i="16"/>
  <c r="L35" i="16"/>
  <c r="L41" i="16"/>
  <c r="L42" i="16"/>
  <c r="L43" i="16" s="1"/>
  <c r="D46" i="16"/>
  <c r="L46" i="16"/>
  <c r="L47" i="16" s="1"/>
  <c r="D56" i="16"/>
  <c r="D56" i="15"/>
  <c r="L46" i="15"/>
  <c r="L47" i="15" s="1"/>
  <c r="D46" i="15"/>
  <c r="L41" i="15"/>
  <c r="L42" i="15" s="1"/>
  <c r="L43" i="15" s="1"/>
  <c r="L35" i="15"/>
  <c r="L34" i="15"/>
  <c r="L38" i="15" s="1"/>
  <c r="L26" i="15"/>
  <c r="L27" i="15" s="1"/>
  <c r="L24" i="15"/>
  <c r="L16" i="15"/>
  <c r="L17" i="15" s="1"/>
  <c r="L18" i="15" s="1"/>
  <c r="L13" i="15"/>
  <c r="L12" i="15"/>
  <c r="L19" i="15" s="1"/>
  <c r="L7" i="15"/>
  <c r="H7" i="15"/>
  <c r="H24" i="15" s="1"/>
  <c r="L6" i="15"/>
  <c r="L8" i="15" s="1"/>
  <c r="L9" i="15" s="1"/>
  <c r="H6" i="15"/>
  <c r="L5" i="15"/>
  <c r="H5" i="15"/>
  <c r="H8" i="15" s="1"/>
  <c r="H4" i="15"/>
  <c r="D56" i="14"/>
  <c r="L46" i="14"/>
  <c r="L47" i="14" s="1"/>
  <c r="D46" i="14"/>
  <c r="L41" i="14"/>
  <c r="L42" i="14" s="1"/>
  <c r="L43" i="14" s="1"/>
  <c r="L34" i="14"/>
  <c r="L38" i="14" s="1"/>
  <c r="L26" i="14"/>
  <c r="L27" i="14" s="1"/>
  <c r="L24" i="14"/>
  <c r="L16" i="14"/>
  <c r="L17" i="14" s="1"/>
  <c r="L18" i="14" s="1"/>
  <c r="L13" i="14"/>
  <c r="L12" i="14"/>
  <c r="L19" i="14" s="1"/>
  <c r="L7" i="14"/>
  <c r="H6" i="14"/>
  <c r="H7" i="14" s="1"/>
  <c r="L5" i="14"/>
  <c r="L6" i="14" s="1"/>
  <c r="L8" i="14" s="1"/>
  <c r="L9" i="14" s="1"/>
  <c r="H5" i="14"/>
  <c r="H8" i="14" s="1"/>
  <c r="H4" i="14"/>
  <c r="D56" i="13"/>
  <c r="L46" i="13"/>
  <c r="L47" i="13" s="1"/>
  <c r="D46" i="13"/>
  <c r="L41" i="13"/>
  <c r="L42" i="13" s="1"/>
  <c r="L43" i="13" s="1"/>
  <c r="L35" i="13"/>
  <c r="L34" i="13"/>
  <c r="L38" i="13" s="1"/>
  <c r="L26" i="13"/>
  <c r="L27" i="13" s="1"/>
  <c r="L24" i="13"/>
  <c r="L16" i="13"/>
  <c r="L17" i="13" s="1"/>
  <c r="L18" i="13" s="1"/>
  <c r="L13" i="13"/>
  <c r="L12" i="13"/>
  <c r="L19" i="13" s="1"/>
  <c r="L5" i="13"/>
  <c r="L6" i="13" s="1"/>
  <c r="L8" i="13" s="1"/>
  <c r="L9" i="13" s="1"/>
  <c r="H5" i="13"/>
  <c r="H9" i="13" s="1"/>
  <c r="H4" i="13"/>
  <c r="E5" i="11"/>
  <c r="E5" i="10"/>
  <c r="H5" i="9"/>
  <c r="G5" i="9"/>
  <c r="F5" i="9"/>
  <c r="L35" i="9"/>
  <c r="L28" i="9"/>
  <c r="L29" i="9" s="1"/>
  <c r="L21" i="9"/>
  <c r="L25" i="9" s="1"/>
  <c r="L15" i="9"/>
  <c r="L14" i="9"/>
  <c r="L18" i="9" s="1"/>
  <c r="L8" i="9"/>
  <c r="M8" i="9" s="1"/>
  <c r="L7" i="9"/>
  <c r="M6" i="9"/>
  <c r="M7" i="9" s="1"/>
  <c r="L5" i="9"/>
  <c r="M5" i="9" s="1"/>
  <c r="E5" i="3"/>
  <c r="E5" i="1"/>
  <c r="H5" i="1" s="1"/>
  <c r="I13" i="5" l="1"/>
  <c r="I15" i="5"/>
  <c r="I17" i="5" s="1"/>
  <c r="L5" i="5"/>
  <c r="L7" i="5" s="1"/>
  <c r="L36" i="16"/>
  <c r="L37" i="16" s="1"/>
  <c r="L28" i="15"/>
  <c r="H9" i="8"/>
  <c r="H11" i="8" s="1"/>
  <c r="L20" i="13"/>
  <c r="L20" i="14"/>
  <c r="L21" i="14" s="1"/>
  <c r="L22" i="14" s="1"/>
  <c r="L25" i="14" s="1"/>
  <c r="L20" i="15"/>
  <c r="L21" i="15" s="1"/>
  <c r="L7" i="13"/>
  <c r="L21" i="13"/>
  <c r="L22" i="13" s="1"/>
  <c r="L25" i="13" s="1"/>
  <c r="H11" i="17"/>
  <c r="H19" i="17" s="1"/>
  <c r="H25" i="16"/>
  <c r="H26" i="16"/>
  <c r="H25" i="15"/>
  <c r="H26" i="15" s="1"/>
  <c r="H24" i="14"/>
  <c r="H25" i="14"/>
  <c r="H24" i="13"/>
  <c r="H14" i="16"/>
  <c r="H15" i="16" s="1"/>
  <c r="H16" i="16" s="1"/>
  <c r="H19" i="16"/>
  <c r="H20" i="16" s="1"/>
  <c r="H21" i="16" s="1"/>
  <c r="H12" i="16"/>
  <c r="L21" i="16"/>
  <c r="L6" i="16"/>
  <c r="L8" i="16" s="1"/>
  <c r="L9" i="16" s="1"/>
  <c r="L28" i="16" s="1"/>
  <c r="L38" i="16"/>
  <c r="H11" i="15"/>
  <c r="L36" i="15"/>
  <c r="L37" i="15" s="1"/>
  <c r="L28" i="14"/>
  <c r="H11" i="14"/>
  <c r="H34" i="14" s="1"/>
  <c r="L36" i="14"/>
  <c r="L37" i="14" s="1"/>
  <c r="L28" i="13"/>
  <c r="H8" i="13"/>
  <c r="L36" i="13"/>
  <c r="L37" i="13" s="1"/>
  <c r="F5" i="3"/>
  <c r="F5" i="1"/>
  <c r="H5" i="3"/>
  <c r="G5" i="3"/>
  <c r="G5" i="1"/>
  <c r="L9" i="9"/>
  <c r="L34" i="9" s="1"/>
  <c r="L16" i="9"/>
  <c r="L17" i="9" s="1"/>
  <c r="L32" i="9"/>
  <c r="L10" i="9"/>
  <c r="M9" i="9"/>
  <c r="M10" i="9" s="1"/>
  <c r="F6" i="9" s="1"/>
  <c r="F7" i="9" s="1"/>
  <c r="O8" i="9"/>
  <c r="Q8" i="9" s="1"/>
  <c r="N8" i="9"/>
  <c r="O5" i="9"/>
  <c r="N5" i="9"/>
  <c r="L22" i="9"/>
  <c r="L22" i="15" l="1"/>
  <c r="L25" i="15" s="1"/>
  <c r="L29" i="15"/>
  <c r="L30" i="15" s="1"/>
  <c r="L31" i="15" s="1"/>
  <c r="L49" i="15" s="1"/>
  <c r="H14" i="8"/>
  <c r="H15" i="8" s="1"/>
  <c r="H16" i="8" s="1"/>
  <c r="H12" i="8"/>
  <c r="H19" i="8"/>
  <c r="H20" i="8" s="1"/>
  <c r="H21" i="8" s="1"/>
  <c r="H22" i="8" s="1"/>
  <c r="H25" i="8" s="1"/>
  <c r="H26" i="8" s="1"/>
  <c r="L29" i="13"/>
  <c r="L30" i="13" s="1"/>
  <c r="H6" i="9"/>
  <c r="G6" i="9"/>
  <c r="H12" i="17"/>
  <c r="H14" i="17"/>
  <c r="H15" i="17" s="1"/>
  <c r="H16" i="17" s="1"/>
  <c r="H17" i="17" s="1"/>
  <c r="H20" i="17"/>
  <c r="H21" i="17" s="1"/>
  <c r="H22" i="17" s="1"/>
  <c r="H26" i="14"/>
  <c r="L29" i="14"/>
  <c r="L30" i="14" s="1"/>
  <c r="L31" i="14" s="1"/>
  <c r="L49" i="14" s="1"/>
  <c r="H22" i="16"/>
  <c r="H17" i="16"/>
  <c r="L29" i="16"/>
  <c r="L30" i="16" s="1"/>
  <c r="L31" i="16" s="1"/>
  <c r="L49" i="16" s="1"/>
  <c r="L22" i="16"/>
  <c r="L25" i="16" s="1"/>
  <c r="H19" i="15"/>
  <c r="H20" i="15" s="1"/>
  <c r="H21" i="15" s="1"/>
  <c r="H14" i="15"/>
  <c r="H15" i="15" s="1"/>
  <c r="H16" i="15" s="1"/>
  <c r="H12" i="15"/>
  <c r="H19" i="14"/>
  <c r="H20" i="14" s="1"/>
  <c r="H21" i="14" s="1"/>
  <c r="H14" i="14"/>
  <c r="H15" i="14" s="1"/>
  <c r="H16" i="14" s="1"/>
  <c r="H12" i="14"/>
  <c r="H11" i="13"/>
  <c r="L31" i="13"/>
  <c r="L49" i="13" s="1"/>
  <c r="O6" i="9"/>
  <c r="O7" i="9" s="1"/>
  <c r="O9" i="9" s="1"/>
  <c r="Q5" i="9"/>
  <c r="Q6" i="9" s="1"/>
  <c r="Q7" i="9" s="1"/>
  <c r="Q9" i="9" s="1"/>
  <c r="Q10" i="9" s="1"/>
  <c r="L33" i="9"/>
  <c r="L38" i="9"/>
  <c r="L36" i="9"/>
  <c r="L39" i="9" s="1"/>
  <c r="L40" i="9" s="1"/>
  <c r="P8" i="9"/>
  <c r="N6" i="9"/>
  <c r="N7" i="9" s="1"/>
  <c r="N9" i="9" s="1"/>
  <c r="P5" i="9"/>
  <c r="L6" i="3"/>
  <c r="F6" i="4"/>
  <c r="F5" i="4"/>
  <c r="F5" i="6"/>
  <c r="K15" i="6"/>
  <c r="K14" i="6"/>
  <c r="C6" i="12"/>
  <c r="C5" i="12"/>
  <c r="M5" i="2"/>
  <c r="M6" i="2" s="1"/>
  <c r="M7" i="2" s="1"/>
  <c r="L6" i="4"/>
  <c r="H22" i="14" l="1"/>
  <c r="F7" i="4"/>
  <c r="H17" i="8"/>
  <c r="H23" i="8" s="1"/>
  <c r="H23" i="16"/>
  <c r="H17" i="15"/>
  <c r="H22" i="15"/>
  <c r="H25" i="17"/>
  <c r="H24" i="17"/>
  <c r="H23" i="17"/>
  <c r="H17" i="14"/>
  <c r="H23" i="15"/>
  <c r="H23" i="14"/>
  <c r="H33" i="14" s="1"/>
  <c r="H19" i="13"/>
  <c r="H20" i="13" s="1"/>
  <c r="H21" i="13" s="1"/>
  <c r="H14" i="13"/>
  <c r="H15" i="13" s="1"/>
  <c r="H16" i="13" s="1"/>
  <c r="H12" i="13"/>
  <c r="P6" i="9"/>
  <c r="P7" i="9" s="1"/>
  <c r="P9" i="9" s="1"/>
  <c r="P10" i="9" s="1"/>
  <c r="D46" i="7"/>
  <c r="D56" i="7"/>
  <c r="C45" i="6"/>
  <c r="K35" i="6"/>
  <c r="K28" i="6"/>
  <c r="K29" i="6" s="1"/>
  <c r="K21" i="6"/>
  <c r="K22" i="6" s="1"/>
  <c r="L25" i="6" s="1"/>
  <c r="K18" i="6"/>
  <c r="K8" i="6"/>
  <c r="K7" i="6"/>
  <c r="L6" i="6"/>
  <c r="L7" i="6" s="1"/>
  <c r="K5" i="6"/>
  <c r="C36" i="1"/>
  <c r="C37" i="2"/>
  <c r="K35" i="4"/>
  <c r="C38" i="3"/>
  <c r="C48" i="3"/>
  <c r="K5" i="3"/>
  <c r="H26" i="17" l="1"/>
  <c r="H17" i="13"/>
  <c r="H22" i="13"/>
  <c r="L5" i="6"/>
  <c r="M5" i="6"/>
  <c r="M7" i="6" s="1"/>
  <c r="M5" i="3"/>
  <c r="M6" i="3" s="1"/>
  <c r="M7" i="3" s="1"/>
  <c r="N5" i="3"/>
  <c r="K9" i="6"/>
  <c r="K34" i="6" s="1"/>
  <c r="L8" i="6"/>
  <c r="K25" i="6"/>
  <c r="K16" i="6"/>
  <c r="K17" i="6" s="1"/>
  <c r="K33" i="6"/>
  <c r="L46" i="7"/>
  <c r="L47" i="7" s="1"/>
  <c r="L41" i="7"/>
  <c r="L42" i="7" s="1"/>
  <c r="L43" i="7" s="1"/>
  <c r="L34" i="7"/>
  <c r="L38" i="7" s="1"/>
  <c r="L35" i="7"/>
  <c r="H23" i="13" l="1"/>
  <c r="H25" i="13"/>
  <c r="H26" i="13" s="1"/>
  <c r="N6" i="3"/>
  <c r="N7" i="3" s="1"/>
  <c r="O5" i="3"/>
  <c r="O6" i="3" s="1"/>
  <c r="O7" i="3" s="1"/>
  <c r="K10" i="6"/>
  <c r="K38" i="6" s="1"/>
  <c r="L9" i="6"/>
  <c r="L10" i="6" s="1"/>
  <c r="M8" i="6"/>
  <c r="M9" i="6" s="1"/>
  <c r="M10" i="6" s="1"/>
  <c r="F6" i="6" s="1"/>
  <c r="F7" i="6" s="1"/>
  <c r="K32" i="6"/>
  <c r="L36" i="7"/>
  <c r="L37" i="7" s="1"/>
  <c r="K36" i="6" l="1"/>
  <c r="K39" i="6" s="1"/>
  <c r="K40" i="6" s="1"/>
  <c r="L26" i="7"/>
  <c r="L27" i="7" l="1"/>
  <c r="L24" i="7"/>
  <c r="L16" i="7"/>
  <c r="L17" i="7" s="1"/>
  <c r="L18" i="7" s="1"/>
  <c r="L13" i="7"/>
  <c r="L12" i="7"/>
  <c r="L19" i="7" s="1"/>
  <c r="L5" i="7"/>
  <c r="L6" i="7" s="1"/>
  <c r="L8" i="7" s="1"/>
  <c r="L9" i="7" s="1"/>
  <c r="L7" i="7" l="1"/>
  <c r="L20" i="7"/>
  <c r="L21" i="7" s="1"/>
  <c r="L29" i="7" s="1"/>
  <c r="L30" i="7" s="1"/>
  <c r="L28" i="7"/>
  <c r="L31" i="7" l="1"/>
  <c r="L49" i="7" s="1"/>
  <c r="L22" i="7"/>
  <c r="L25" i="7" s="1"/>
  <c r="K35" i="11"/>
  <c r="K28" i="11"/>
  <c r="K29" i="11" s="1"/>
  <c r="K21" i="11"/>
  <c r="K25" i="11" s="1"/>
  <c r="K15" i="11"/>
  <c r="K14" i="11"/>
  <c r="K18" i="11" s="1"/>
  <c r="K8" i="11"/>
  <c r="M8" i="11" s="1"/>
  <c r="K7" i="11"/>
  <c r="L6" i="11"/>
  <c r="L7" i="11" s="1"/>
  <c r="K5" i="11"/>
  <c r="K35" i="10"/>
  <c r="K28" i="10"/>
  <c r="K29" i="10" s="1"/>
  <c r="K21" i="10"/>
  <c r="K25" i="10" s="1"/>
  <c r="K15" i="10"/>
  <c r="K14" i="10"/>
  <c r="K18" i="10" s="1"/>
  <c r="K8" i="10"/>
  <c r="L8" i="10" s="1"/>
  <c r="M8" i="10" s="1"/>
  <c r="K7" i="10"/>
  <c r="L6" i="10"/>
  <c r="L7" i="10" s="1"/>
  <c r="K5" i="10"/>
  <c r="L6" i="1"/>
  <c r="L5" i="11" l="1"/>
  <c r="M5" i="11"/>
  <c r="M6" i="11" s="1"/>
  <c r="M7" i="11" s="1"/>
  <c r="L5" i="10"/>
  <c r="M5" i="10"/>
  <c r="M6" i="10" s="1"/>
  <c r="M7" i="10" s="1"/>
  <c r="M9" i="11"/>
  <c r="E6" i="11" s="1"/>
  <c r="E7" i="11" s="1"/>
  <c r="M9" i="10"/>
  <c r="E6" i="10" s="1"/>
  <c r="E7" i="10" s="1"/>
  <c r="K22" i="11"/>
  <c r="K9" i="11"/>
  <c r="K34" i="11" s="1"/>
  <c r="K16" i="11"/>
  <c r="K17" i="11" s="1"/>
  <c r="L8" i="11"/>
  <c r="L9" i="11" s="1"/>
  <c r="L10" i="11" s="1"/>
  <c r="K9" i="10"/>
  <c r="K34" i="10" s="1"/>
  <c r="L9" i="10"/>
  <c r="L10" i="10" s="1"/>
  <c r="K16" i="10"/>
  <c r="K17" i="10" s="1"/>
  <c r="K22" i="10"/>
  <c r="L6" i="2"/>
  <c r="L7" i="2" s="1"/>
  <c r="L7" i="3"/>
  <c r="L7" i="4"/>
  <c r="L7" i="1"/>
  <c r="K35" i="1"/>
  <c r="K28" i="1"/>
  <c r="K29" i="1" s="1"/>
  <c r="K21" i="1"/>
  <c r="K25" i="1" s="1"/>
  <c r="K15" i="1"/>
  <c r="K14" i="1"/>
  <c r="K18" i="1" s="1"/>
  <c r="K8" i="1"/>
  <c r="K7" i="1"/>
  <c r="K5" i="1"/>
  <c r="L5" i="1" s="1"/>
  <c r="K35" i="2"/>
  <c r="K28" i="2"/>
  <c r="K29" i="2" s="1"/>
  <c r="K21" i="2"/>
  <c r="K25" i="2" s="1"/>
  <c r="K15" i="2"/>
  <c r="K14" i="2"/>
  <c r="K18" i="2" s="1"/>
  <c r="K8" i="2"/>
  <c r="M8" i="2" s="1"/>
  <c r="M9" i="2" s="1"/>
  <c r="K7" i="2"/>
  <c r="K5" i="2"/>
  <c r="L5" i="2" s="1"/>
  <c r="K35" i="3"/>
  <c r="K28" i="3"/>
  <c r="K29" i="3" s="1"/>
  <c r="K21" i="3"/>
  <c r="K25" i="3" s="1"/>
  <c r="K15" i="3"/>
  <c r="K14" i="3"/>
  <c r="K18" i="3" s="1"/>
  <c r="K8" i="3"/>
  <c r="K7" i="3"/>
  <c r="L5" i="3"/>
  <c r="K28" i="4"/>
  <c r="K29" i="4" s="1"/>
  <c r="K21" i="4"/>
  <c r="K25" i="4" s="1"/>
  <c r="K15" i="4"/>
  <c r="K14" i="4"/>
  <c r="K8" i="4"/>
  <c r="K7" i="4"/>
  <c r="K5" i="4"/>
  <c r="M5" i="1" l="1"/>
  <c r="N5" i="1"/>
  <c r="N6" i="1" s="1"/>
  <c r="N7" i="1" s="1"/>
  <c r="K16" i="1"/>
  <c r="K17" i="1" s="1"/>
  <c r="L5" i="4"/>
  <c r="N6" i="4"/>
  <c r="M6" i="4"/>
  <c r="M7" i="4" s="1"/>
  <c r="K22" i="1"/>
  <c r="L8" i="4"/>
  <c r="L9" i="4" s="1"/>
  <c r="L10" i="4" s="1"/>
  <c r="M8" i="4"/>
  <c r="K9" i="4"/>
  <c r="K10" i="4" s="1"/>
  <c r="K16" i="4"/>
  <c r="K17" i="4" s="1"/>
  <c r="K16" i="3"/>
  <c r="K17" i="3" s="1"/>
  <c r="K10" i="11"/>
  <c r="K38" i="11" s="1"/>
  <c r="K22" i="3"/>
  <c r="K33" i="11"/>
  <c r="K32" i="11"/>
  <c r="K10" i="10"/>
  <c r="K36" i="10" s="1"/>
  <c r="K32" i="10"/>
  <c r="K33" i="10"/>
  <c r="K9" i="1"/>
  <c r="K32" i="1" s="1"/>
  <c r="K34" i="1"/>
  <c r="L8" i="1"/>
  <c r="K22" i="2"/>
  <c r="K16" i="2"/>
  <c r="K17" i="2" s="1"/>
  <c r="K9" i="2"/>
  <c r="L8" i="2"/>
  <c r="L9" i="2" s="1"/>
  <c r="L10" i="2" s="1"/>
  <c r="K9" i="3"/>
  <c r="K33" i="3" s="1"/>
  <c r="L8" i="3"/>
  <c r="N8" i="3" s="1"/>
  <c r="N9" i="3" s="1"/>
  <c r="G6" i="3" s="1"/>
  <c r="G7" i="3" s="1"/>
  <c r="K22" i="4"/>
  <c r="K18" i="4"/>
  <c r="C51" i="4"/>
  <c r="C50" i="4"/>
  <c r="C48" i="4"/>
  <c r="C47" i="4"/>
  <c r="C46" i="4"/>
  <c r="C41" i="4"/>
  <c r="K38" i="10" l="1"/>
  <c r="K36" i="11"/>
  <c r="K39" i="11" s="1"/>
  <c r="K40" i="11" s="1"/>
  <c r="K32" i="4"/>
  <c r="K39" i="10"/>
  <c r="K40" i="10" s="1"/>
  <c r="M6" i="1"/>
  <c r="M7" i="1" s="1"/>
  <c r="O5" i="1"/>
  <c r="O6" i="1" s="1"/>
  <c r="O7" i="1" s="1"/>
  <c r="M8" i="1"/>
  <c r="N8" i="1"/>
  <c r="N9" i="1" s="1"/>
  <c r="G6" i="1" s="1"/>
  <c r="G7" i="1" s="1"/>
  <c r="K33" i="2"/>
  <c r="K32" i="2"/>
  <c r="K10" i="2"/>
  <c r="K38" i="2" s="1"/>
  <c r="L9" i="3"/>
  <c r="E6" i="3" s="1"/>
  <c r="E7" i="3" s="1"/>
  <c r="M8" i="3"/>
  <c r="K33" i="4"/>
  <c r="K34" i="4"/>
  <c r="K10" i="1"/>
  <c r="K36" i="1" s="1"/>
  <c r="K33" i="1"/>
  <c r="M9" i="4"/>
  <c r="M10" i="4" s="1"/>
  <c r="L9" i="1"/>
  <c r="E6" i="1" s="1"/>
  <c r="E7" i="1" s="1"/>
  <c r="K34" i="3"/>
  <c r="K10" i="3"/>
  <c r="K38" i="3" s="1"/>
  <c r="K34" i="2"/>
  <c r="K32" i="3"/>
  <c r="K38" i="4"/>
  <c r="K36" i="4"/>
  <c r="M9" i="1" l="1"/>
  <c r="F6" i="1" s="1"/>
  <c r="F7" i="1" s="1"/>
  <c r="O8" i="1"/>
  <c r="O9" i="1" s="1"/>
  <c r="H6" i="1" s="1"/>
  <c r="H7" i="1" s="1"/>
  <c r="M9" i="3"/>
  <c r="F6" i="3" s="1"/>
  <c r="F7" i="3" s="1"/>
  <c r="O8" i="3"/>
  <c r="O9" i="3" s="1"/>
  <c r="H6" i="3" s="1"/>
  <c r="H7" i="3" s="1"/>
  <c r="K39" i="4"/>
  <c r="K40" i="4" s="1"/>
  <c r="K38" i="1"/>
  <c r="K39" i="1" s="1"/>
  <c r="K40" i="1" s="1"/>
  <c r="L10" i="3"/>
  <c r="L10" i="1"/>
  <c r="K39" i="3"/>
  <c r="K40" i="3" s="1"/>
  <c r="K39" i="2"/>
  <c r="K40" i="2" s="1"/>
</calcChain>
</file>

<file path=xl/sharedStrings.xml><?xml version="1.0" encoding="utf-8"?>
<sst xmlns="http://schemas.openxmlformats.org/spreadsheetml/2006/main" count="1563" uniqueCount="188">
  <si>
    <t>LIQUID</t>
  </si>
  <si>
    <t>GAS</t>
  </si>
  <si>
    <t>PROPERTIES</t>
  </si>
  <si>
    <t>INLET</t>
  </si>
  <si>
    <t>VESSEL INFO</t>
  </si>
  <si>
    <t>TT LINE</t>
  </si>
  <si>
    <t>MATERIAL</t>
  </si>
  <si>
    <t>TOP HEAD TYPE</t>
  </si>
  <si>
    <t>BOT. HEAD TYPE</t>
  </si>
  <si>
    <t>INPUT</t>
  </si>
  <si>
    <t>MIN LEVEL</t>
  </si>
  <si>
    <t>LOW LEVEL</t>
  </si>
  <si>
    <t>HIGH LEVEL</t>
  </si>
  <si>
    <t>MAX LEVEL</t>
  </si>
  <si>
    <t>NOZZLE DEVICE I</t>
  </si>
  <si>
    <t>NOZZLE DEVICE O</t>
  </si>
  <si>
    <t>FLOW-KG/H</t>
  </si>
  <si>
    <t>MW-KG/KMOL</t>
  </si>
  <si>
    <t>TEMPERATURE-C</t>
  </si>
  <si>
    <t>PRESSURE-BARG</t>
  </si>
  <si>
    <t>TD-C</t>
  </si>
  <si>
    <t>PD-BARG</t>
  </si>
  <si>
    <t>DENSITY-KG/M3</t>
  </si>
  <si>
    <t>OUTPUT</t>
  </si>
  <si>
    <t>INNER DIAMETER-MM</t>
  </si>
  <si>
    <t>SS</t>
  </si>
  <si>
    <t>ELLIPSOIDAL</t>
  </si>
  <si>
    <t>HALF-OPEN PIPE</t>
  </si>
  <si>
    <t>VORTEX BREAKER</t>
  </si>
  <si>
    <t>DEMISTER</t>
  </si>
  <si>
    <t>YORK MESH TYPE 709</t>
  </si>
  <si>
    <t>THICKNESS</t>
  </si>
  <si>
    <t>MOUNTING</t>
  </si>
  <si>
    <t>TT DISTANCE</t>
  </si>
  <si>
    <t>SS316</t>
  </si>
  <si>
    <t>EFFECTIVE DIAMETER-MM</t>
  </si>
  <si>
    <t>SUPPORT RING</t>
  </si>
  <si>
    <t>CS</t>
  </si>
  <si>
    <t>SPHERICAL</t>
  </si>
  <si>
    <t xml:space="preserve">NOZZLE DEVICE </t>
  </si>
  <si>
    <t>SPARGER</t>
  </si>
  <si>
    <t>KOCH-GLITSCH MODEL 746 LATERAL ARM VAPOR DISTRIBUTOR</t>
  </si>
  <si>
    <t>LP STEAM</t>
  </si>
  <si>
    <t>CONFIGURATION-D</t>
  </si>
  <si>
    <t>HORIZONTAL - 6450</t>
  </si>
  <si>
    <t>FULL VACCUM</t>
  </si>
  <si>
    <t xml:space="preserve">HALF OPEN PIPE </t>
  </si>
  <si>
    <t>SUPPORT BEAMS</t>
  </si>
  <si>
    <t>SPLASH PLATE</t>
  </si>
  <si>
    <t>NUMBER OF TRAYS</t>
  </si>
  <si>
    <t>TRAY DIAMETER</t>
  </si>
  <si>
    <t>TRAY TYPE</t>
  </si>
  <si>
    <t>TRAY PASS</t>
  </si>
  <si>
    <t>TURNDOWN RATIO</t>
  </si>
  <si>
    <t>BUBBLE CAP</t>
  </si>
  <si>
    <t>SINGLE PASS</t>
  </si>
  <si>
    <t>TRAY SPACING-MM</t>
  </si>
  <si>
    <t>TRAY MATERIAL</t>
  </si>
  <si>
    <t>MAX PRESSURE DROP-MBAR</t>
  </si>
  <si>
    <t>VANE PACK</t>
  </si>
  <si>
    <t>DROPLET SIZE REMOVED</t>
  </si>
  <si>
    <t>10 MICRON</t>
  </si>
  <si>
    <t>EFFICIENCY</t>
  </si>
  <si>
    <t>OVERALL PRESSURE DROP-MBAR</t>
  </si>
  <si>
    <t>L/D</t>
  </si>
  <si>
    <t>H1</t>
  </si>
  <si>
    <t>H2</t>
  </si>
  <si>
    <t>H3</t>
  </si>
  <si>
    <t>H4</t>
  </si>
  <si>
    <t>H5</t>
  </si>
  <si>
    <t>H6</t>
  </si>
  <si>
    <t>H7</t>
  </si>
  <si>
    <t>H8</t>
  </si>
  <si>
    <t>TOPSOE OUTPUT</t>
  </si>
  <si>
    <t>INLET NOZZLE -MM</t>
  </si>
  <si>
    <t>VT</t>
  </si>
  <si>
    <t>CM</t>
  </si>
  <si>
    <t>OUTLET NOZZLE</t>
  </si>
  <si>
    <t>VT-FOSTER WILLER</t>
  </si>
  <si>
    <t>TOTAL</t>
  </si>
  <si>
    <t>RHOV-RHOG-1</t>
  </si>
  <si>
    <t>VS</t>
  </si>
  <si>
    <t>VG</t>
  </si>
  <si>
    <t>QG</t>
  </si>
  <si>
    <t>ID</t>
  </si>
  <si>
    <t>SELECTED ID</t>
  </si>
  <si>
    <t>SP9,10</t>
  </si>
  <si>
    <t>K FACTOR</t>
  </si>
  <si>
    <t>NOZZLE SIZING</t>
  </si>
  <si>
    <t>ESTIMATED ID</t>
  </si>
  <si>
    <t>NOZZLE AREA</t>
  </si>
  <si>
    <t>RHOMIXTURE</t>
  </si>
  <si>
    <t>VM</t>
  </si>
  <si>
    <t>RHOVM2</t>
  </si>
  <si>
    <t>RHOVG2</t>
  </si>
  <si>
    <t>&lt;=6000</t>
  </si>
  <si>
    <t>&lt;=3750</t>
  </si>
  <si>
    <t>VAPOR</t>
  </si>
  <si>
    <t>VL</t>
  </si>
  <si>
    <t>HEIGHT CALCULATION</t>
  </si>
  <si>
    <t>HT</t>
  </si>
  <si>
    <t>h1</t>
  </si>
  <si>
    <t>h2</t>
  </si>
  <si>
    <t>h3</t>
  </si>
  <si>
    <t>h4</t>
  </si>
  <si>
    <t>h5</t>
  </si>
  <si>
    <t>h6</t>
  </si>
  <si>
    <t>ht</t>
  </si>
  <si>
    <t>GPSA</t>
  </si>
  <si>
    <t>Conventional</t>
  </si>
  <si>
    <t>P-PSIA</t>
  </si>
  <si>
    <t>YORK</t>
  </si>
  <si>
    <t>ASSUMED ID</t>
  </si>
  <si>
    <t>SELECTED L/D</t>
  </si>
  <si>
    <t>L</t>
  </si>
  <si>
    <t>2.5&lt;=L/D&lt;=5</t>
  </si>
  <si>
    <t>AT</t>
  </si>
  <si>
    <t>BTM-LLLL</t>
  </si>
  <si>
    <t>LLLL-LLL</t>
  </si>
  <si>
    <t>LLL/D</t>
  </si>
  <si>
    <t>θ</t>
  </si>
  <si>
    <t>A(LLL)/At</t>
  </si>
  <si>
    <t>A(LLL-HLL)</t>
  </si>
  <si>
    <t>A(LLL)</t>
  </si>
  <si>
    <t>A(HLL)</t>
  </si>
  <si>
    <t>A(HLL)/At</t>
  </si>
  <si>
    <t>HLL/D</t>
  </si>
  <si>
    <t>error</t>
  </si>
  <si>
    <t>HLL</t>
  </si>
  <si>
    <t>Hv</t>
  </si>
  <si>
    <t>phi</t>
  </si>
  <si>
    <t>Av</t>
  </si>
  <si>
    <t>Uv</t>
  </si>
  <si>
    <t>Lmin</t>
  </si>
  <si>
    <t>RHO-MIXTURE</t>
  </si>
  <si>
    <t>RHOMV2</t>
  </si>
  <si>
    <t>RHOGV2</t>
  </si>
  <si>
    <t>OUTLET</t>
  </si>
  <si>
    <t>V</t>
  </si>
  <si>
    <t>OUTLET-VAPOUR</t>
  </si>
  <si>
    <t>OUTLET-LIQUID</t>
  </si>
  <si>
    <t>H1+2+3</t>
  </si>
  <si>
    <t># ACCORDING TO GPSA RANGE AND PV2 VALUE, AN OPEN-HALF INLET PIPE IS SELECTED</t>
  </si>
  <si>
    <t>INLET NOZZLE-MM</t>
  </si>
  <si>
    <t>OUTLET NOZZLE-MM</t>
  </si>
  <si>
    <t>LIQ-OUTLET NOZZLE</t>
  </si>
  <si>
    <t>3*24</t>
  </si>
  <si>
    <t>Column1</t>
  </si>
  <si>
    <t>CRe2</t>
  </si>
  <si>
    <t>K</t>
  </si>
  <si>
    <t>Svercek</t>
  </si>
  <si>
    <t>TOPSOE</t>
  </si>
  <si>
    <t>SVERCEK</t>
  </si>
  <si>
    <t>OUTPUT2</t>
  </si>
  <si>
    <t>OUTPUT3</t>
  </si>
  <si>
    <t>OUTPUT4</t>
  </si>
  <si>
    <t>FW</t>
  </si>
  <si>
    <t>OUTPUT5</t>
  </si>
  <si>
    <t>Svercek-GPSA</t>
  </si>
  <si>
    <t>TOPSOe</t>
  </si>
  <si>
    <t>SP9,11</t>
  </si>
  <si>
    <t>Qv</t>
  </si>
  <si>
    <t>Ql</t>
  </si>
  <si>
    <t>Ut</t>
  </si>
  <si>
    <t>Vh</t>
  </si>
  <si>
    <t>Vs</t>
  </si>
  <si>
    <t>D</t>
  </si>
  <si>
    <t>At</t>
  </si>
  <si>
    <t>Hlll</t>
  </si>
  <si>
    <t>Hlll/D</t>
  </si>
  <si>
    <t>Alll/At</t>
  </si>
  <si>
    <t>Alll</t>
  </si>
  <si>
    <t>Hv/D</t>
  </si>
  <si>
    <t>Av/At</t>
  </si>
  <si>
    <t>Uva</t>
  </si>
  <si>
    <t>Svercek Method</t>
  </si>
  <si>
    <t>Inlet Nozzle</t>
  </si>
  <si>
    <t xml:space="preserve">Vapor Nozzle </t>
  </si>
  <si>
    <t>Svercek-method</t>
  </si>
  <si>
    <t>outlet nozzle</t>
  </si>
  <si>
    <t>Doing-GPSA</t>
  </si>
  <si>
    <t>Doing</t>
  </si>
  <si>
    <t>Area</t>
  </si>
  <si>
    <t>Density</t>
  </si>
  <si>
    <t>Velocity</t>
  </si>
  <si>
    <t>J</t>
  </si>
  <si>
    <t>Q</t>
  </si>
  <si>
    <t>Svercheck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</si>
</sst>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</borders>
  <cellStyleXfs count="11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  <xf numFmtId="0" fontId="4" fillId="5" borderId="1" applyNumberFormat="0" applyAlignment="0" applyProtection="0"/>
    <xf numFmtId="0" fontId="5" fillId="6" borderId="2" applyNumberFormat="0" applyAlignment="0" applyProtection="0"/>
    <xf numFmtId="0" fontId="6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</cellStyleXfs>
  <cellXfs count="37">
    <xf numFmtId="0" fontId="0" fillId="0" borderId="0" xfId="0"/>
    <xf numFmtId="0" fontId="2" fillId="3" borderId="0" xfId="2" applyAlignment="1">
      <alignment horizontal="center"/>
    </xf>
    <xf numFmtId="0" fontId="3" fillId="4" borderId="1" xfId="3" applyAlignment="1">
      <alignment horizontal="center"/>
    </xf>
    <xf numFmtId="0" fontId="4" fillId="5" borderId="1" xfId="4"/>
    <xf numFmtId="0" fontId="4" fillId="5" borderId="1" xfId="4" applyAlignment="1">
      <alignment horizontal="center"/>
    </xf>
    <xf numFmtId="0" fontId="4" fillId="5" borderId="1" xfId="4" applyFont="1" applyAlignment="1">
      <alignment horizontal="center"/>
    </xf>
    <xf numFmtId="0" fontId="7" fillId="3" borderId="0" xfId="2" applyFont="1" applyAlignment="1">
      <alignment horizontal="center"/>
    </xf>
    <xf numFmtId="0" fontId="8" fillId="4" borderId="1" xfId="3" applyFont="1" applyAlignment="1">
      <alignment horizontal="center"/>
    </xf>
    <xf numFmtId="0" fontId="6" fillId="0" borderId="0" xfId="6"/>
    <xf numFmtId="0" fontId="5" fillId="6" borderId="2" xfId="5" applyAlignment="1">
      <alignment horizontal="center"/>
    </xf>
    <xf numFmtId="0" fontId="5" fillId="6" borderId="3" xfId="5" applyBorder="1" applyAlignment="1">
      <alignment horizontal="center"/>
    </xf>
    <xf numFmtId="0" fontId="1" fillId="2" borderId="0" xfId="1" applyAlignment="1">
      <alignment horizontal="center"/>
    </xf>
    <xf numFmtId="0" fontId="9" fillId="7" borderId="0" xfId="7"/>
    <xf numFmtId="0" fontId="3" fillId="4" borderId="1" xfId="3"/>
    <xf numFmtId="9" fontId="2" fillId="3" borderId="0" xfId="2" applyNumberFormat="1" applyAlignment="1">
      <alignment horizontal="center"/>
    </xf>
    <xf numFmtId="0" fontId="10" fillId="8" borderId="0" xfId="8" applyAlignment="1">
      <alignment horizontal="center"/>
    </xf>
    <xf numFmtId="0" fontId="11" fillId="8" borderId="0" xfId="8" applyFont="1" applyAlignment="1">
      <alignment horizontal="center"/>
    </xf>
    <xf numFmtId="0" fontId="2" fillId="3" borderId="0" xfId="2"/>
    <xf numFmtId="0" fontId="12" fillId="9" borderId="0" xfId="9" applyAlignment="1">
      <alignment horizontal="center"/>
    </xf>
    <xf numFmtId="0" fontId="12" fillId="10" borderId="0" xfId="10" applyAlignment="1">
      <alignment horizontal="center"/>
    </xf>
    <xf numFmtId="0" fontId="12" fillId="10" borderId="0" xfId="10"/>
    <xf numFmtId="0" fontId="12" fillId="10" borderId="0" xfId="10" applyNumberFormat="1" applyAlignment="1">
      <alignment horizontal="center"/>
    </xf>
    <xf numFmtId="0" fontId="2" fillId="3" borderId="1" xfId="2" applyBorder="1" applyAlignment="1">
      <alignment horizontal="center"/>
    </xf>
    <xf numFmtId="0" fontId="12" fillId="9" borderId="0" xfId="9" applyNumberFormat="1" applyAlignment="1">
      <alignment horizontal="center"/>
    </xf>
    <xf numFmtId="0" fontId="2" fillId="3" borderId="0" xfId="2" applyNumberFormat="1" applyAlignment="1">
      <alignment horizontal="center"/>
    </xf>
    <xf numFmtId="0" fontId="4" fillId="5" borderId="4" xfId="4" applyBorder="1" applyAlignment="1">
      <alignment horizontal="center"/>
    </xf>
    <xf numFmtId="0" fontId="5" fillId="6" borderId="3" xfId="5" applyBorder="1"/>
    <xf numFmtId="0" fontId="9" fillId="7" borderId="0" xfId="7" applyAlignment="1">
      <alignment horizontal="center"/>
    </xf>
    <xf numFmtId="0" fontId="13" fillId="7" borderId="0" xfId="7" applyFont="1"/>
    <xf numFmtId="0" fontId="13" fillId="7" borderId="0" xfId="7" applyFont="1" applyAlignment="1">
      <alignment horizontal="center"/>
    </xf>
    <xf numFmtId="0" fontId="4" fillId="5" borderId="0" xfId="4" applyBorder="1" applyAlignment="1">
      <alignment horizontal="center"/>
    </xf>
    <xf numFmtId="0" fontId="0" fillId="0" borderId="0" xfId="0" applyAlignment="1">
      <alignment horizontal="center"/>
    </xf>
    <xf numFmtId="0" fontId="4" fillId="5" borderId="5" xfId="4" applyBorder="1" applyAlignment="1">
      <alignment horizontal="center"/>
    </xf>
    <xf numFmtId="0" fontId="4" fillId="5" borderId="5" xfId="4" applyBorder="1"/>
    <xf numFmtId="0" fontId="5" fillId="6" borderId="0" xfId="5" applyBorder="1" applyAlignment="1">
      <alignment horizontal="center"/>
    </xf>
    <xf numFmtId="0" fontId="12" fillId="9" borderId="3" xfId="9" applyNumberFormat="1" applyBorder="1" applyAlignment="1">
      <alignment horizontal="center"/>
    </xf>
    <xf numFmtId="0" fontId="15" fillId="5" borderId="1" xfId="4" applyFont="1" applyAlignment="1">
      <alignment horizontal="center"/>
    </xf>
  </cellXfs>
  <cellStyles count="11">
    <cellStyle name="20% - Accent6" xfId="8" builtinId="50"/>
    <cellStyle name="60% - Accent6" xfId="10" builtinId="52"/>
    <cellStyle name="Accent6" xfId="9" builtinId="49"/>
    <cellStyle name="Bad" xfId="7" builtinId="27"/>
    <cellStyle name="Calculation" xfId="4" builtinId="22"/>
    <cellStyle name="Check Cell" xfId="5" builtinId="23"/>
    <cellStyle name="Explanatory Text" xfId="6" builtinId="53"/>
    <cellStyle name="Good" xfId="1" builtinId="26"/>
    <cellStyle name="Input" xfId="3" builtinId="20"/>
    <cellStyle name="Neutral" xfId="2" builtinId="28"/>
    <cellStyle name="Normal" xfId="0" builtinId="0"/>
  </cellStyles>
  <dxfs count="26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left style="thin">
          <color rgb="FF7F7F7F"/>
        </left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0000000}" name="Table18141720" displayName="Table18141720" ref="D3:D17" totalsRowShown="0" headerRowDxfId="267" dataDxfId="266" headerRowCellStyle="Check Cell" dataCellStyle="Neutral">
  <tableColumns count="1">
    <tableColumn id="1" xr3:uid="{00000000-0010-0000-0000-000001000000}" name="INLET" dataDxfId="265" dataCellStyle="Neutral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09000000}" name="Table6132948" displayName="Table6132948" ref="L4:O40" totalsRowShown="0" headerRowDxfId="236" dataDxfId="235" tableBorderDxfId="234" headerRowCellStyle="Accent6" dataCellStyle="Accent6">
  <tableColumns count="4">
    <tableColumn id="1" xr3:uid="{00000000-0010-0000-0900-000001000000}" name="OUTPUT" dataDxfId="233" dataCellStyle="Accent6">
      <calculatedColumnFormula>Table5[[#This Row],[OUTPUT]]</calculatedColumnFormula>
    </tableColumn>
    <tableColumn id="2" xr3:uid="{00000000-0010-0000-0900-000002000000}" name="OUTPUT2" dataDxfId="232" dataCellStyle="Accent6"/>
    <tableColumn id="3" xr3:uid="{B2A4D522-F1BE-4E8A-BABD-E62B74CC951F}" name="OUTPUT3" dataDxfId="231" dataCellStyle="Accent6"/>
    <tableColumn id="4" xr3:uid="{2AE15384-E0F6-4A30-8F2A-EE900DE91733}" name="OUTPUT4" dataDxfId="230" dataCellStyle="Accent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A000000}" name="Table31016" displayName="Table31016" ref="C35:C47" totalsRowShown="0" headerRowDxfId="229" dataDxfId="228" headerRowCellStyle="20% - Accent6" dataCellStyle="Good">
  <tableColumns count="1">
    <tableColumn id="1" xr3:uid="{00000000-0010-0000-0A00-000001000000}" name="TOPSOE OUTPUT" dataDxfId="227" dataCellStyle="Good">
      <calculatedColumnFormula xml:space="preserve"> C21/C20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B000000}" name="Table18" displayName="Table18" ref="C3:C17" totalsRowShown="0" headerRowDxfId="226" dataDxfId="225" headerRowCellStyle="Check Cell" dataCellStyle="Neutral">
  <tableColumns count="1">
    <tableColumn id="1" xr3:uid="{00000000-0010-0000-0B00-000001000000}" name="INLET" dataDxfId="224" dataCellStyle="Neutral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C000000}" name="Table29" displayName="Table29" ref="C20:C35" totalsRowShown="0" headerRowDxfId="223" dataDxfId="222" tableBorderDxfId="221" headerRowCellStyle="Neutral" dataCellStyle="Neutral">
  <tableColumns count="1">
    <tableColumn id="1" xr3:uid="{00000000-0010-0000-0C00-000001000000}" name="INPUT" dataDxfId="220" dataCellStyle="Neutral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D000000}" name="Table310" displayName="Table310" ref="C36:C48" totalsRowShown="0" headerRowDxfId="219" dataDxfId="218" headerRowCellStyle="20% - Accent6" dataCellStyle="Good">
  <tableColumns count="1">
    <tableColumn id="1" xr3:uid="{00000000-0010-0000-0D00-000001000000}" name="TOPSOE OUTPUT" dataDxfId="217" dataCellStyle="Good">
      <calculatedColumnFormula xml:space="preserve"> C22/C21</calculatedColumnFormula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E000000}" name="Table51225" displayName="Table51225" ref="K4:K40" totalsRowShown="0" headerRowDxfId="216" dataDxfId="215" tableBorderDxfId="214" headerRowCellStyle="60% - Accent6" dataCellStyle="60% - Accent6">
  <tableColumns count="1">
    <tableColumn id="1" xr3:uid="{00000000-0010-0000-0E00-000001000000}" name="OUTPUT" dataDxfId="213" dataCellStyle="60% - Accent6">
      <calculatedColumnFormula>(C6/D6)-1</calculatedColumnFormula>
    </tableColumn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F000000}" name="Table61329" displayName="Table61329" ref="L4:M40" totalsRowShown="0" headerRowDxfId="212" dataDxfId="211" tableBorderDxfId="210" headerRowCellStyle="Accent6" dataCellStyle="Accent6">
  <tableColumns count="2">
    <tableColumn id="1" xr3:uid="{00000000-0010-0000-0F00-000001000000}" name="OUTPUT" dataDxfId="209" dataCellStyle="Accent6">
      <calculatedColumnFormula>Table5[[#This Row],[OUTPUT]]</calculatedColumnFormula>
    </tableColumn>
    <tableColumn id="2" xr3:uid="{00000000-0010-0000-0F00-000002000000}" name="Column1" dataDxfId="208" dataCellStyle="Accent6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0000000}" name="Table1814" displayName="Table1814" ref="C3:C17" totalsRowShown="0" headerRowDxfId="207" dataDxfId="206" headerRowCellStyle="Check Cell" dataCellStyle="Neutral">
  <tableColumns count="1">
    <tableColumn id="1" xr3:uid="{00000000-0010-0000-1000-000001000000}" name="INLET" dataDxfId="205" dataCellStyle="Neutral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11000000}" name="Table2915" displayName="Table2915" ref="C20:C35" totalsRowShown="0" headerRowDxfId="204" dataDxfId="203" tableBorderDxfId="202" headerRowCellStyle="Neutral" dataCellStyle="Neutral">
  <tableColumns count="1">
    <tableColumn id="1" xr3:uid="{00000000-0010-0000-1100-000001000000}" name="INPUT" dataDxfId="201" dataCellStyle="Neutral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12000000}" name="Table512" displayName="Table512" ref="K4:K40" totalsRowShown="0" headerRowDxfId="200" dataDxfId="199" tableBorderDxfId="198" headerRowCellStyle="60% - Accent6" dataCellStyle="60% - Accent6">
  <tableColumns count="1">
    <tableColumn id="1" xr3:uid="{00000000-0010-0000-1200-000001000000}" name="OUTPUT" dataDxfId="197" dataCellStyle="60% - Accent6">
      <calculatedColumnFormula>(C6/D6)-1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1000000}" name="Table29151821" displayName="Table29151821" ref="D20:D39" totalsRowShown="0" headerRowDxfId="264" dataDxfId="263" tableBorderDxfId="262" headerRowCellStyle="Neutral" dataCellStyle="Neutral">
  <tableColumns count="1">
    <tableColumn id="1" xr3:uid="{00000000-0010-0000-0100-000001000000}" name="INPUT" dataDxfId="261" dataCellStyle="Neutral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3000000}" name="Table613" displayName="Table613" ref="L4:O40" totalsRowShown="0" headerRowDxfId="196" dataDxfId="195" tableBorderDxfId="194" headerRowCellStyle="Accent6" dataCellStyle="Accent6">
  <tableColumns count="4">
    <tableColumn id="1" xr3:uid="{00000000-0010-0000-1300-000001000000}" name="OUTPUT" dataDxfId="193" dataCellStyle="Accent6">
      <calculatedColumnFormula>Table5[[#This Row],[OUTPUT]]</calculatedColumnFormula>
    </tableColumn>
    <tableColumn id="2" xr3:uid="{00000000-0010-0000-1300-000002000000}" name="OUTPUT2" dataDxfId="192" dataCellStyle="Accent6">
      <calculatedColumnFormula>Table512[[#This Row],[OUTPUT]]</calculatedColumnFormula>
    </tableColumn>
    <tableColumn id="3" xr3:uid="{353E4E0F-E906-4E19-B887-54775583D1FC}" name="OUTPUT3" dataDxfId="191" dataCellStyle="Accent6"/>
    <tableColumn id="4" xr3:uid="{8EBA553F-F7EE-4DB5-AA9D-CAC9352EB6ED}" name="OUTPUT4" dataDxfId="190" dataCellStyle="Accent6">
      <calculatedColumnFormula>Table613[[#This Row],[OUTPUT3]]</calculatedColumnFormula>
    </tableColumn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14000000}" name="Table411" displayName="Table411" ref="C37:C49" totalsRowShown="0" headerRowDxfId="189" dataDxfId="188" headerRowCellStyle="20% - Accent6" dataCellStyle="20% - Accent6">
  <tableColumns count="1">
    <tableColumn id="1" xr3:uid="{00000000-0010-0000-1400-000001000000}" name="TOPSOE OUTPUT" dataDxfId="187" dataCellStyle="20% - Accent6">
      <calculatedColumnFormula>C19/C18</calculatedColumnFormula>
    </tableColumn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15000000}" name="Table181417" displayName="Table181417" ref="C3:C17" totalsRowShown="0" headerRowDxfId="186" dataDxfId="185" headerRowCellStyle="Check Cell" dataCellStyle="Neutral">
  <tableColumns count="1">
    <tableColumn id="1" xr3:uid="{00000000-0010-0000-1500-000001000000}" name="INLET" dataDxfId="184" dataCellStyle="Neutral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6000000}" name="Table291518" displayName="Table291518" ref="C20:C39" totalsRowShown="0" headerRowDxfId="183" dataDxfId="182" tableBorderDxfId="181" headerRowCellStyle="Neutral" dataCellStyle="Neutral">
  <tableColumns count="1">
    <tableColumn id="1" xr3:uid="{00000000-0010-0000-1600-000001000000}" name="INPUT" dataDxfId="180" dataCellStyle="Neutral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7000000}" name="Table5" displayName="Table5" ref="K4:K40" totalsRowShown="0" headerRowDxfId="179" dataDxfId="178" tableBorderDxfId="177" headerRowCellStyle="60% - Accent6" dataCellStyle="60% - Accent6">
  <tableColumns count="1">
    <tableColumn id="1" xr3:uid="{00000000-0010-0000-1700-000001000000}" name="OUTPUT" dataDxfId="176" dataCellStyle="60% - Accent6">
      <calculatedColumnFormula>(C6/D6)-1</calculatedColumnFormula>
    </tableColumn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18000000}" name="Table6" displayName="Table6" ref="L4:M40" totalsRowShown="0" headerRowDxfId="175" dataDxfId="174" tableBorderDxfId="173" headerRowCellStyle="Accent6" dataCellStyle="Accent6">
  <tableColumns count="2">
    <tableColumn id="1" xr3:uid="{00000000-0010-0000-1800-000001000000}" name="OUTPUT" dataDxfId="172" dataCellStyle="Accent6">
      <calculatedColumnFormula>Table5[[#This Row],[OUTPUT]]</calculatedColumnFormula>
    </tableColumn>
    <tableColumn id="2" xr3:uid="{00000000-0010-0000-1800-000002000000}" name="Column1" dataDxfId="171" dataCellStyle="Accent6">
      <calculatedColumnFormula xml:space="preserve"> (0.29)*SQRT(K4)</calculatedColumnFormula>
    </tableColumn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19000000}" name="Table54" displayName="Table54" ref="C40:C53" totalsRowShown="0" headerRowDxfId="170" dataDxfId="169" tableBorderDxfId="168" headerRowCellStyle="20% - Accent6" dataCellStyle="20% - Accent6">
  <tableColumns count="1">
    <tableColumn id="1" xr3:uid="{00000000-0010-0000-1900-000001000000}" name="TOPSOE OUTPUT" dataDxfId="167" dataCellStyle="20% - Accent6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A000000}" name="Table2915182127" displayName="Table2915182127" ref="C20:C43" totalsRowShown="0" headerRowDxfId="166" dataDxfId="165" tableBorderDxfId="164" headerRowCellStyle="Neutral" dataCellStyle="Neutral">
  <tableColumns count="1">
    <tableColumn id="1" xr3:uid="{00000000-0010-0000-1A00-000001000000}" name="INPUT" dataDxfId="163" dataCellStyle="Neutral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B000000}" name="Table31016192228" displayName="Table31016192228" ref="C44:C56" totalsRowShown="0" headerRowDxfId="162" dataDxfId="161" headerRowCellStyle="20% - Accent6" dataCellStyle="20% - Accent6">
  <tableColumns count="1">
    <tableColumn id="1" xr3:uid="{00000000-0010-0000-1B00-000001000000}" name="TOPSOE OUTPUT" dataDxfId="160" dataCellStyle="20% - Accent6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C000000}" name="Table1814172026" displayName="Table1814172026" ref="C3:C17" totalsRowShown="0" headerRowDxfId="159" dataDxfId="158" headerRowCellStyle="Check Cell" dataCellStyle="Neutral">
  <tableColumns count="1">
    <tableColumn id="1" xr3:uid="{00000000-0010-0000-1C00-000001000000}" name="INLET" dataDxfId="157" dataCellStyle="Neutra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2000000}" name="Table310161922" displayName="Table310161922" ref="D40:D52" totalsRowShown="0" headerRowDxfId="260" dataDxfId="259" headerRowCellStyle="Good" dataCellStyle="Good">
  <tableColumns count="1">
    <tableColumn id="1" xr3:uid="{00000000-0010-0000-0200-000001000000}" name="OUTPUT" dataDxfId="258" dataCellStyle="Good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1D000000}" name="Table549" displayName="Table549" ref="K4:K40" totalsRowShown="0" headerRowDxfId="156" dataDxfId="155" tableBorderDxfId="154" headerRowCellStyle="60% - Accent6" dataCellStyle="60% - Accent6">
  <tableColumns count="1">
    <tableColumn id="1" xr3:uid="{00000000-0010-0000-1D00-000001000000}" name="OUTPUT" dataDxfId="153" dataCellStyle="60% - Accent6">
      <calculatedColumnFormula>(C6/D6)-1</calculatedColumnFormula>
    </tableColumn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1E000000}" name="Table654" displayName="Table654" ref="L4:M40" totalsRowShown="0" headerRowDxfId="152" dataDxfId="151" tableBorderDxfId="150" headerRowCellStyle="Accent6" dataCellStyle="Accent6">
  <tableColumns count="2">
    <tableColumn id="1" xr3:uid="{00000000-0010-0000-1E00-000001000000}" name="OUTPUT" dataDxfId="149" dataCellStyle="Accent6">
      <calculatedColumnFormula>Table5[[#This Row],[OUTPUT]]</calculatedColumnFormula>
    </tableColumn>
    <tableColumn id="2" xr3:uid="{81C3FAF7-6571-4D7F-A9D2-E47B5E4790E8}" name="Column1" dataDxfId="148" dataCellStyle="Accent6">
      <calculatedColumnFormula>0.09*SQRT(Table549[[#This Row],[OUTPUT]])</calculatedColumnFormula>
    </tableColumn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1F000000}" name="Table18141720263238" displayName="Table18141720263238" ref="D3:D17" totalsRowShown="0" headerRowDxfId="147" dataDxfId="146" headerRowCellStyle="Check Cell" dataCellStyle="Neutral">
  <tableColumns count="1">
    <tableColumn id="1" xr3:uid="{00000000-0010-0000-1F00-000001000000}" name="INLET" dataDxfId="145" dataCellStyle="Neutral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0000000}" name="Table29151821273339" displayName="Table29151821273339" ref="D20:D47" totalsRowShown="0" headerRowDxfId="144" dataDxfId="143" tableBorderDxfId="142" headerRowCellStyle="Neutral" dataCellStyle="Neutral">
  <tableColumns count="1">
    <tableColumn id="1" xr3:uid="{00000000-0010-0000-2000-000001000000}" name="INPUT" dataDxfId="141" dataCellStyle="Neutral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1000000}" name="Table310161922283440" displayName="Table310161922283440" ref="D48:D60" totalsRowShown="0" headerRowDxfId="140" dataDxfId="139" headerRowCellStyle="Good" dataCellStyle="Good">
  <tableColumns count="1">
    <tableColumn id="1" xr3:uid="{00000000-0010-0000-2100-000001000000}" name="OUTPUT" dataDxfId="138" dataCellStyle="Good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DC13F3A6-9332-455C-91C0-4AB667B2C5E0}" name="Table512254734" displayName="Table512254734" ref="L4:L40" totalsRowShown="0" headerRowDxfId="137" dataDxfId="136" tableBorderDxfId="135" headerRowCellStyle="60% - Accent6" dataCellStyle="60% - Accent6">
  <tableColumns count="1">
    <tableColumn id="1" xr3:uid="{4C7D43F1-2172-4269-945A-088EACA14C6D}" name="OUTPUT" dataDxfId="134" dataCellStyle="60% - Accent6">
      <calculatedColumnFormula>(D6/E6)-1</calculatedColumnFormula>
    </tableColumn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1C7983C8-0443-4EAD-99B8-D49282FD1031}" name="Table613294856" displayName="Table613294856" ref="M4:P40" totalsRowShown="0" headerRowDxfId="133" dataDxfId="132" tableBorderDxfId="131" headerRowCellStyle="Accent6" dataCellStyle="Accent6">
  <tableColumns count="4">
    <tableColumn id="1" xr3:uid="{F060F784-60A5-4882-AEB5-179C99A20E6D}" name="OUTPUT" dataDxfId="130" dataCellStyle="Accent6">
      <calculatedColumnFormula>Table5[[#This Row],[OUTPUT]]</calculatedColumnFormula>
    </tableColumn>
    <tableColumn id="2" xr3:uid="{A7BB76C2-8D65-4007-8142-B7EC802683E2}" name="OUTPUT2" dataDxfId="129" dataCellStyle="Accent6"/>
    <tableColumn id="3" xr3:uid="{DDBB05D0-D2A9-46B8-8113-445C6D73E38F}" name="OUTPUT3" dataDxfId="128" dataCellStyle="Accent6"/>
    <tableColumn id="4" xr3:uid="{1F5368C1-7F65-4012-B8F4-BBA1D4C42D22}" name="OUTPUT4" dataDxfId="127" dataCellStyle="Accent6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22000000}" name="Table181417202632" displayName="Table181417202632" ref="D3:D17" totalsRowShown="0" headerRowDxfId="126" dataDxfId="125" headerRowCellStyle="Check Cell" dataCellStyle="Neutral">
  <tableColumns count="1">
    <tableColumn id="1" xr3:uid="{00000000-0010-0000-2200-000001000000}" name="INLET" dataDxfId="124" dataCellStyle="Neutral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23000000}" name="Table291518212733" displayName="Table291518212733" ref="D20:D44" totalsRowShown="0" headerRowDxfId="123" dataDxfId="122" tableBorderDxfId="121" headerRowCellStyle="Neutral" dataCellStyle="Neutral">
  <tableColumns count="1">
    <tableColumn id="1" xr3:uid="{00000000-0010-0000-2300-000001000000}" name="INPUT" dataDxfId="120" dataCellStyle="Neutral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24000000}" name="Table22" displayName="Table22" ref="L4:L31" totalsRowShown="0" headerRowDxfId="119" dataDxfId="118" tableBorderDxfId="117" headerRowCellStyle="60% - Accent6" dataCellStyle="60% - Accent6">
  <tableColumns count="1">
    <tableColumn id="1" xr3:uid="{00000000-0010-0000-2400-000001000000}" name="OUTPUT" dataDxfId="116" dataCellStyle="60% - Accent6">
      <calculatedColumnFormula xml:space="preserve"> (E9+1) * 14.5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03000000}" name="Table18141720263235" displayName="Table18141720263235" ref="D3:D17" totalsRowShown="0" headerRowDxfId="257" dataDxfId="256" headerRowCellStyle="Check Cell" dataCellStyle="Neutral">
  <tableColumns count="1">
    <tableColumn id="1" xr3:uid="{00000000-0010-0000-0300-000001000000}" name="INLET" dataDxfId="255" dataCellStyle="Neutral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25000000}" name="Table23" displayName="Table23" ref="M6:M8" totalsRowShown="0" headerRowDxfId="115" dataDxfId="114" headerRowCellStyle="Bad" dataCellStyle="Bad">
  <tableColumns count="1">
    <tableColumn id="1" xr3:uid="{00000000-0010-0000-2500-000001000000}" name="YORK" dataDxfId="113" dataCellStyle="Bad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26000000}" name="Table4114" displayName="Table4114" ref="D45:D57" totalsRowShown="0" headerRowDxfId="112" dataDxfId="111" headerRowCellStyle="20% - Accent6" dataCellStyle="20% - Accent6">
  <tableColumns count="1">
    <tableColumn id="1" xr3:uid="{00000000-0010-0000-2600-000001000000}" name="TOPSOE OUTPUT" dataDxfId="110" dataCellStyle="20% - Accent6">
      <calculatedColumnFormula>D27/D26</calculatedColumnFormula>
    </tableColumn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3B42D79-71E4-4ADD-ABE0-8CFFAB029DEB}" name="Table1814172026325" displayName="Table1814172026325" ref="D3:D17" totalsRowShown="0" headerRowDxfId="109" dataDxfId="108" headerRowCellStyle="Check Cell" dataCellStyle="Neutral">
  <tableColumns count="1">
    <tableColumn id="1" xr3:uid="{D79AAE5A-0C62-4E7E-B078-5A337468C086}" name="INLET" dataDxfId="107" dataCellStyle="Neutral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005BF48-F4E9-4FC2-90C9-12EE407560B7}" name="Table29151821273319" displayName="Table29151821273319" ref="D20:D44" totalsRowShown="0" headerRowDxfId="106" dataDxfId="105" tableBorderDxfId="104" headerRowCellStyle="Neutral" dataCellStyle="Neutral">
  <tableColumns count="1">
    <tableColumn id="1" xr3:uid="{511B0242-0DCC-4471-B257-AC2D9FFBEA34}" name="INPUT" dataDxfId="103" dataCellStyle="Neutral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DB7E818-DCEA-4856-A9BA-3761CA762B6A}" name="Table2230" displayName="Table2230" ref="L4:L31" totalsRowShown="0" headerRowDxfId="102" dataDxfId="101" tableBorderDxfId="100" headerRowCellStyle="60% - Accent6" dataCellStyle="60% - Accent6">
  <tableColumns count="1">
    <tableColumn id="1" xr3:uid="{82DA521E-39E3-4790-A95B-0C630A1A40B3}" name="OUTPUT" dataDxfId="99" dataCellStyle="60% - Accent6">
      <calculatedColumnFormula xml:space="preserve"> (E9+1) * 14.5</calculatedColumnFormula>
    </tableColumn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8E556EF-6155-48A4-BD4E-33CC02A5B797}" name="Table2331" displayName="Table2331" ref="M6:M8" totalsRowShown="0" headerRowDxfId="98" dataDxfId="97" headerRowCellStyle="Bad" dataCellStyle="Bad">
  <tableColumns count="1">
    <tableColumn id="1" xr3:uid="{9B327545-2369-4BE7-85FF-FAEE7DE556B1}" name="YORK" dataDxfId="96" dataCellStyle="Bad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1A5E5C69-9BF6-4C39-BE1D-83F9DA7613C3}" name="Table411457" displayName="Table411457" ref="D45:D57" totalsRowShown="0" headerRowDxfId="95" dataDxfId="94" headerRowCellStyle="20% - Accent6" dataCellStyle="20% - Accent6">
  <tableColumns count="1">
    <tableColumn id="1" xr3:uid="{260B16BB-89A2-4822-A429-36BD5DF994FC}" name="TOPSOE OUTPUT" dataDxfId="93" dataCellStyle="20% - Accent6">
      <calculatedColumnFormula>D27/D26</calculatedColumnFormula>
    </tableColumn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3CBCC73E-4501-4807-944E-B0B9444C4A02}" name="Table1814172026325586368" displayName="Table1814172026325586368" ref="D3:D17" totalsRowShown="0" headerRowDxfId="92" dataDxfId="91" headerRowCellStyle="Check Cell" dataCellStyle="Neutral">
  <tableColumns count="1">
    <tableColumn id="1" xr3:uid="{E20BCD08-096D-4780-A337-4F6DCE3ADE38}" name="INLET" dataDxfId="90" dataCellStyle="Neutral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4EC1BD50-FCAF-42A7-90D8-EDD1ACA58723}" name="Table29151821273319596469" displayName="Table29151821273319596469" ref="D20:D44" totalsRowShown="0" headerRowDxfId="89" dataDxfId="88" tableBorderDxfId="87" headerRowCellStyle="Neutral" dataCellStyle="Neutral">
  <tableColumns count="1">
    <tableColumn id="1" xr3:uid="{1BFC87C3-31A9-4785-A338-71D91509D510}" name="INPUT" dataDxfId="86" dataCellStyle="Neutral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49B15CE8-F4B7-4CC6-A898-8D9FBC2A8BE6}" name="Table2230606570" displayName="Table2230606570" ref="L4:L31" totalsRowShown="0" headerRowDxfId="85" dataDxfId="84" tableBorderDxfId="83" headerRowCellStyle="60% - Accent6" dataCellStyle="60% - Accent6">
  <tableColumns count="1">
    <tableColumn id="1" xr3:uid="{02D0BFD3-4C51-4A1D-ACC1-31CDAFC46E6E}" name="OUTPUT" dataDxfId="82" dataCellStyle="60% - Accent6">
      <calculatedColumnFormula xml:space="preserve"> (E9+1) * 14.5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04000000}" name="Table29151821273336" displayName="Table29151821273336" ref="D20:D39" totalsRowShown="0" headerRowDxfId="254" dataDxfId="253" tableBorderDxfId="252" headerRowCellStyle="Neutral" dataCellStyle="Neutral">
  <tableColumns count="1">
    <tableColumn id="1" xr3:uid="{00000000-0010-0000-0400-000001000000}" name="INPUT" dataDxfId="251" dataCellStyle="Neutral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EC768B9C-D5D0-4A64-84B3-F28C275967E5}" name="Table2331616671" displayName="Table2331616671" ref="M6:M8" totalsRowShown="0" headerRowDxfId="81" dataDxfId="80" headerRowCellStyle="Bad" dataCellStyle="Bad">
  <tableColumns count="1">
    <tableColumn id="1" xr3:uid="{358B3D58-FB0E-4C90-9847-97FD15D56260}" name="YORK" dataDxfId="79" dataCellStyle="Bad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22662D1-BE46-4569-8953-37C52C6139DA}" name="Table411457626772" displayName="Table411457626772" ref="D45:D57" totalsRowShown="0" headerRowDxfId="78" dataDxfId="77" headerRowCellStyle="20% - Accent6" dataCellStyle="20% - Accent6">
  <tableColumns count="1">
    <tableColumn id="1" xr3:uid="{9ECC1091-2128-4231-AC98-3C056995D472}" name="TOPSOE OUTPUT" dataDxfId="76" dataCellStyle="20% - Accent6">
      <calculatedColumnFormula>D27/D26</calculatedColumnFormula>
    </tableColumn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A49396E0-9CDA-4E8B-84F0-9CDF71911E92}" name="Table181417202632558" displayName="Table181417202632558" ref="D3:D17" totalsRowShown="0" headerRowDxfId="75" dataDxfId="74" headerRowCellStyle="Check Cell" dataCellStyle="Neutral">
  <tableColumns count="1">
    <tableColumn id="1" xr3:uid="{8653508E-CBAF-490D-9420-9D0EB1C0E258}" name="INLET" dataDxfId="73" dataCellStyle="Neutral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BC43F6A6-11B2-408E-9D09-64ADBEBE01B4}" name="Table2915182127331959" displayName="Table2915182127331959" ref="D20:D44" totalsRowShown="0" headerRowDxfId="72" dataDxfId="71" tableBorderDxfId="70" headerRowCellStyle="Neutral" dataCellStyle="Neutral">
  <tableColumns count="1">
    <tableColumn id="1" xr3:uid="{8B44CE98-14F2-4126-8AA0-BE7BB97F2616}" name="INPUT" dataDxfId="69" dataCellStyle="Neutral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9C357734-D672-46F6-AC95-ED86345CBB6E}" name="Table223060" displayName="Table223060" ref="L4:L31" totalsRowShown="0" headerRowDxfId="68" dataDxfId="67" tableBorderDxfId="66" headerRowCellStyle="60% - Accent6" dataCellStyle="60% - Accent6">
  <tableColumns count="1">
    <tableColumn id="1" xr3:uid="{8C84A27B-B8D2-43F4-8F7A-008ADA25A4A3}" name="OUTPUT" dataDxfId="65" dataCellStyle="60% - Accent6">
      <calculatedColumnFormula xml:space="preserve"> (E9+1) * 14.5</calculatedColumnFormula>
    </tableColumn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E300B1AB-DDFC-4FC6-AB60-3A821AC5071B}" name="Table233161" displayName="Table233161" ref="M6:M8" totalsRowShown="0" headerRowDxfId="64" dataDxfId="63" headerRowCellStyle="Bad" dataCellStyle="Bad">
  <tableColumns count="1">
    <tableColumn id="1" xr3:uid="{43222A8C-5BE2-4DFF-BA53-2AA6133CE54E}" name="YORK" dataDxfId="62" dataCellStyle="Bad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89F392AA-8B77-47F0-8D92-BEE5C732D113}" name="Table41145762" displayName="Table41145762" ref="D45:D57" totalsRowShown="0" headerRowDxfId="61" dataDxfId="60" headerRowCellStyle="20% - Accent6" dataCellStyle="20% - Accent6">
  <tableColumns count="1">
    <tableColumn id="1" xr3:uid="{3F6A01C3-620B-4386-9D1E-87EE29F9F82F}" name="TOPSOE OUTPUT" dataDxfId="59" dataCellStyle="20% - Accent6">
      <calculatedColumnFormula>D27/D26</calculatedColumnFormula>
    </tableColumn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70AF83E-BC33-4416-8A3B-F4164E13FF85}" name="Table18141720263255863" displayName="Table18141720263255863" ref="D3:D17" totalsRowShown="0" headerRowDxfId="58" dataDxfId="57" headerRowCellStyle="Check Cell" dataCellStyle="Neutral">
  <tableColumns count="1">
    <tableColumn id="1" xr3:uid="{344588EA-2496-4490-B0C2-2533A596697A}" name="INLET" dataDxfId="56" dataCellStyle="Neutral"/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3F7F4C2C-516B-4162-B69B-0C77E90E9AFA}" name="Table291518212733195964" displayName="Table291518212733195964" ref="D20:D44" totalsRowShown="0" headerRowDxfId="55" dataDxfId="54" tableBorderDxfId="53" headerRowCellStyle="Neutral" dataCellStyle="Neutral">
  <tableColumns count="1">
    <tableColumn id="1" xr3:uid="{8D26835F-DE43-4059-9CDD-2F038E5DA22B}" name="INPUT" dataDxfId="52" dataCellStyle="Neutral"/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51CC621-123C-4BAA-97CC-E82E70E172B9}" name="Table22306065" displayName="Table22306065" ref="L4:L31" totalsRowShown="0" headerRowDxfId="51" dataDxfId="50" tableBorderDxfId="49" headerRowCellStyle="60% - Accent6" dataCellStyle="60% - Accent6">
  <tableColumns count="1">
    <tableColumn id="1" xr3:uid="{DEF7986D-ECB7-4BF4-AE48-2F98136AECF1}" name="OUTPUT" dataDxfId="48" dataCellStyle="60% - Accent6">
      <calculatedColumnFormula xml:space="preserve"> (E9+1) * 14.5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05000000}" name="Table310161922283437" displayName="Table310161922283437" ref="D40:D52" totalsRowShown="0" headerRowDxfId="250" dataDxfId="249" headerRowCellStyle="Good" dataCellStyle="Good">
  <tableColumns count="1">
    <tableColumn id="1" xr3:uid="{00000000-0010-0000-0500-000001000000}" name="OUTPUT" dataDxfId="248" dataCellStyle="Good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F2B25C99-28F7-4694-9C27-0584184BC5F9}" name="Table23316166" displayName="Table23316166" ref="M6:M8" totalsRowShown="0" headerRowDxfId="47" dataDxfId="46" headerRowCellStyle="Bad" dataCellStyle="Bad">
  <tableColumns count="1">
    <tableColumn id="1" xr3:uid="{D0860EAC-D231-4831-9A1D-4D22BAACD6CB}" name="YORK" dataDxfId="45" dataCellStyle="Bad"/>
  </tableColumns>
  <tableStyleInfo name="TableStyleMedium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C99D7015-0844-4365-9931-695B866817CD}" name="Table4114576267" displayName="Table4114576267" ref="D45:D57" totalsRowShown="0" headerRowDxfId="44" dataDxfId="43" headerRowCellStyle="20% - Accent6" dataCellStyle="20% - Accent6">
  <tableColumns count="1">
    <tableColumn id="1" xr3:uid="{2A2E9BBA-09D2-4696-A8EA-C134B9707565}" name="TOPSOE OUTPUT" dataDxfId="42" dataCellStyle="20% - Accent6">
      <calculatedColumnFormula>D27/D26</calculatedColumnFormula>
    </tableColumn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7000000}" name="Table2915182127333942" displayName="Table2915182127333942" ref="D20:D47" totalsRowShown="0" headerRowDxfId="41" dataDxfId="40" tableBorderDxfId="39" headerRowCellStyle="Neutral" dataCellStyle="Neutral">
  <tableColumns count="1">
    <tableColumn id="1" xr3:uid="{00000000-0010-0000-2700-000001000000}" name="INPUT" dataDxfId="38" dataCellStyle="Neutral"/>
  </tableColumns>
  <tableStyleInfo name="TableStyleMedium2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8000000}" name="Table31016192228344043" displayName="Table31016192228344043" ref="D48:D60" totalsRowShown="0" headerRowDxfId="37" dataDxfId="36" headerRowCellStyle="Good" dataCellStyle="Good">
  <tableColumns count="1">
    <tableColumn id="1" xr3:uid="{00000000-0010-0000-2800-000001000000}" name="OUTPUT" dataDxfId="35" dataCellStyle="Good"/>
  </tableColumns>
  <tableStyleInfo name="TableStyleMedium2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9000000}" name="Table1814172026323841" displayName="Table1814172026323841" ref="C3:C17" totalsRowShown="0" headerRowDxfId="34" dataDxfId="33" headerRowCellStyle="Check Cell" dataCellStyle="Neutral">
  <tableColumns count="1">
    <tableColumn id="1" xr3:uid="{00000000-0010-0000-2900-000001000000}" name="INLET" dataDxfId="32" dataCellStyle="Neutral"/>
  </tableColumns>
  <tableStyleInfo name="TableStyleMedium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2A000000}" name="Table550" displayName="Table550" ref="K4:K40" totalsRowShown="0" headerRowDxfId="31" dataDxfId="30" tableBorderDxfId="29" headerRowCellStyle="60% - Accent6" dataCellStyle="60% - Accent6">
  <tableColumns count="1">
    <tableColumn id="1" xr3:uid="{00000000-0010-0000-2A00-000001000000}" name="OUTPUT" dataDxfId="28" dataCellStyle="60% - Accent6">
      <calculatedColumnFormula>(C6/D6)-1</calculatedColumnFormula>
    </tableColumn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2B000000}" name="Table651" displayName="Table651" ref="L4:N40" totalsRowShown="0" headerRowDxfId="27" dataDxfId="26" tableBorderDxfId="25" headerRowCellStyle="Accent6" dataCellStyle="Accent6">
  <tableColumns count="3">
    <tableColumn id="1" xr3:uid="{00000000-0010-0000-2B00-000001000000}" name="OUTPUT" dataDxfId="24" dataCellStyle="Accent6">
      <calculatedColumnFormula>Table5[[#This Row],[OUTPUT]]</calculatedColumnFormula>
    </tableColumn>
    <tableColumn id="2" xr3:uid="{E744D759-C6A6-40DB-AD84-64F3F8DD8EEA}" name="OUTPUT2" dataDxfId="23" dataCellStyle="Accent6">
      <calculatedColumnFormula>Table550[[#This Row],[OUTPUT]]</calculatedColumnFormula>
    </tableColumn>
    <tableColumn id="3" xr3:uid="{DF2E5FC1-6815-420A-BC44-DE7EA8BBB395}" name="OUTPUT3" dataDxfId="22" dataCellStyle="Accent6">
      <calculatedColumnFormula>SQRT((C6-D6)/D6)</calculatedColumnFormula>
    </tableColumn>
  </tableColumns>
  <tableStyleInfo name="TableStyleMedium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C000000}" name="Table181417202632384144" displayName="Table181417202632384144" ref="C3:C17" totalsRowShown="0" headerRowDxfId="21" dataDxfId="20" headerRowCellStyle="Check Cell" dataCellStyle="Neutral">
  <tableColumns count="1">
    <tableColumn id="1" xr3:uid="{00000000-0010-0000-2C00-000001000000}" name="INLET" dataDxfId="19" dataCellStyle="Neutral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D000000}" name="Table291518212733394245" displayName="Table291518212733394245" ref="D20:D47" totalsRowShown="0" headerRowDxfId="18" dataDxfId="17" tableBorderDxfId="16" headerRowCellStyle="Neutral" dataCellStyle="Neutral">
  <tableColumns count="1">
    <tableColumn id="1" xr3:uid="{00000000-0010-0000-2D00-000001000000}" name="INPUT" dataDxfId="15" dataCellStyle="Neutral"/>
  </tableColumns>
  <tableStyleInfo name="TableStyleMedium2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E000000}" name="Table3101619222834404346" displayName="Table3101619222834404346" ref="D48:D60" totalsRowShown="0" headerRowDxfId="14" dataDxfId="13" headerRowCellStyle="Good" dataCellStyle="Good">
  <tableColumns count="1">
    <tableColumn id="1" xr3:uid="{00000000-0010-0000-2E00-000001000000}" name="OUTPUT" dataDxfId="12" dataCellStyle="Good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6000000}" name="Table1" displayName="Table1" ref="C3:C17" totalsRowShown="0" headerRowDxfId="247" dataDxfId="246" headerRowCellStyle="Check Cell" dataCellStyle="Neutral">
  <tableColumns count="1">
    <tableColumn id="1" xr3:uid="{00000000-0010-0000-0600-000001000000}" name="INLET" dataDxfId="245" dataCellStyle="Neutral"/>
  </tableColumns>
  <tableStyleInfo name="TableStyleMedium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2F000000}" name="Table55052" displayName="Table55052" ref="K4:K40" totalsRowShown="0" headerRowDxfId="11" dataDxfId="10" tableBorderDxfId="9" headerRowCellStyle="60% - Accent6" dataCellStyle="60% - Accent6">
  <tableColumns count="1">
    <tableColumn id="1" xr3:uid="{00000000-0010-0000-2F00-000001000000}" name="OUTPUT" dataDxfId="8" dataCellStyle="60% - Accent6">
      <calculatedColumnFormula>(C6/D6)-1</calculatedColumnFormula>
    </tableColumn>
  </tableColumns>
  <tableStyleInfo name="TableStyleMedium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30000000}" name="Table65153" displayName="Table65153" ref="L4:M40" totalsRowShown="0" headerRowDxfId="7" dataDxfId="6" tableBorderDxfId="5" headerRowCellStyle="Accent6" dataCellStyle="Accent6">
  <tableColumns count="2">
    <tableColumn id="1" xr3:uid="{00000000-0010-0000-3000-000001000000}" name="OUTPUT" dataDxfId="4" dataCellStyle="Accent6">
      <calculatedColumnFormula>Table5[[#This Row],[OUTPUT]]</calculatedColumnFormula>
    </tableColumn>
    <tableColumn id="2" xr3:uid="{AB932469-F14C-4719-8F9C-3129A9008EF2}" name="OUTPUT2" dataDxfId="3" dataCellStyle="Accent6">
      <calculatedColumnFormula>Table55052[[#This Row],[OUTPUT]]</calculatedColumnFormula>
    </tableColumn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53B59DF2-B9DC-4FA0-86E6-9A2EE6D81B2A}" name="Table18141720263238414473" displayName="Table18141720263238414473" ref="D4:D18" totalsRowShown="0" headerRowDxfId="2" dataDxfId="1" headerRowCellStyle="Check Cell" dataCellStyle="Neutral">
  <tableColumns count="1">
    <tableColumn id="1" xr3:uid="{DA14418B-E04D-404A-BDEC-B40EF9916C49}" name="INLET" dataDxfId="0" dataCellStyle="Neutral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7000000}" name="Table2" displayName="Table2" ref="C20:C34" totalsRowShown="0" headerRowDxfId="244" dataDxfId="243" tableBorderDxfId="242" headerRowCellStyle="Neutral" dataCellStyle="Neutral">
  <tableColumns count="1">
    <tableColumn id="1" xr3:uid="{00000000-0010-0000-0700-000001000000}" name="INPUT" dataDxfId="241" dataCellStyle="Neutral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08000000}" name="Table5122547" displayName="Table5122547" ref="K4:K40" totalsRowShown="0" headerRowDxfId="240" dataDxfId="239" tableBorderDxfId="238" headerRowCellStyle="60% - Accent6" dataCellStyle="60% - Accent6">
  <tableColumns count="1">
    <tableColumn id="1" xr3:uid="{00000000-0010-0000-0800-000001000000}" name="OUTPUT" dataDxfId="237" dataCellStyle="60% - Accent6">
      <calculatedColumnFormula>(C6/D6)-1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3.xml"/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46.xml"/><Relationship Id="rId5" Type="http://schemas.openxmlformats.org/officeDocument/2006/relationships/table" Target="../tables/table45.xml"/><Relationship Id="rId4" Type="http://schemas.openxmlformats.org/officeDocument/2006/relationships/table" Target="../tables/table44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8.xml"/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1.xml"/><Relationship Id="rId5" Type="http://schemas.openxmlformats.org/officeDocument/2006/relationships/table" Target="../tables/table50.xml"/><Relationship Id="rId4" Type="http://schemas.openxmlformats.org/officeDocument/2006/relationships/table" Target="../tables/table4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3.xml"/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56.xml"/><Relationship Id="rId5" Type="http://schemas.openxmlformats.org/officeDocument/2006/relationships/table" Target="../tables/table55.xml"/><Relationship Id="rId4" Type="http://schemas.openxmlformats.org/officeDocument/2006/relationships/table" Target="../tables/table5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8.xml"/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61.xml"/><Relationship Id="rId5" Type="http://schemas.openxmlformats.org/officeDocument/2006/relationships/table" Target="../tables/table60.xml"/><Relationship Id="rId4" Type="http://schemas.openxmlformats.org/officeDocument/2006/relationships/table" Target="../tables/table59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4.xml"/><Relationship Id="rId2" Type="http://schemas.openxmlformats.org/officeDocument/2006/relationships/table" Target="../tables/table63.xml"/><Relationship Id="rId1" Type="http://schemas.openxmlformats.org/officeDocument/2006/relationships/table" Target="../tables/table62.xml"/><Relationship Id="rId5" Type="http://schemas.openxmlformats.org/officeDocument/2006/relationships/table" Target="../tables/table66.xml"/><Relationship Id="rId4" Type="http://schemas.openxmlformats.org/officeDocument/2006/relationships/table" Target="../tables/table6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9.xml"/><Relationship Id="rId2" Type="http://schemas.openxmlformats.org/officeDocument/2006/relationships/table" Target="../tables/table68.xml"/><Relationship Id="rId1" Type="http://schemas.openxmlformats.org/officeDocument/2006/relationships/table" Target="../tables/table67.xml"/><Relationship Id="rId5" Type="http://schemas.openxmlformats.org/officeDocument/2006/relationships/table" Target="../tables/table71.xml"/><Relationship Id="rId4" Type="http://schemas.openxmlformats.org/officeDocument/2006/relationships/table" Target="../tables/table7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1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table" Target="../tables/table12.xml"/><Relationship Id="rId5" Type="http://schemas.openxmlformats.org/officeDocument/2006/relationships/table" Target="../tables/table16.xml"/><Relationship Id="rId4" Type="http://schemas.openxmlformats.org/officeDocument/2006/relationships/table" Target="../tables/table1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table" Target="../tables/table18.xml"/><Relationship Id="rId1" Type="http://schemas.openxmlformats.org/officeDocument/2006/relationships/table" Target="../tables/table17.xml"/><Relationship Id="rId5" Type="http://schemas.openxmlformats.org/officeDocument/2006/relationships/table" Target="../tables/table21.xml"/><Relationship Id="rId4" Type="http://schemas.openxmlformats.org/officeDocument/2006/relationships/table" Target="../tables/table2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6.xml"/><Relationship Id="rId5" Type="http://schemas.openxmlformats.org/officeDocument/2006/relationships/table" Target="../tables/table25.xml"/><Relationship Id="rId4" Type="http://schemas.openxmlformats.org/officeDocument/2006/relationships/table" Target="../tables/table2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table" Target="../tables/table28.xml"/><Relationship Id="rId1" Type="http://schemas.openxmlformats.org/officeDocument/2006/relationships/table" Target="../tables/table27.xml"/><Relationship Id="rId5" Type="http://schemas.openxmlformats.org/officeDocument/2006/relationships/table" Target="../tables/table31.xml"/><Relationship Id="rId4" Type="http://schemas.openxmlformats.org/officeDocument/2006/relationships/table" Target="../tables/table3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table" Target="../tables/table33.xml"/><Relationship Id="rId1" Type="http://schemas.openxmlformats.org/officeDocument/2006/relationships/table" Target="../tables/table32.xml"/><Relationship Id="rId5" Type="http://schemas.openxmlformats.org/officeDocument/2006/relationships/table" Target="../tables/table36.xml"/><Relationship Id="rId4" Type="http://schemas.openxmlformats.org/officeDocument/2006/relationships/table" Target="../tables/table3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8.xml"/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1.xml"/><Relationship Id="rId5" Type="http://schemas.openxmlformats.org/officeDocument/2006/relationships/table" Target="../tables/table40.xml"/><Relationship Id="rId4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V52"/>
  <sheetViews>
    <sheetView tabSelected="1" topLeftCell="C1" workbookViewId="0">
      <selection activeCell="I11" sqref="I11"/>
    </sheetView>
  </sheetViews>
  <sheetFormatPr defaultRowHeight="14.4" x14ac:dyDescent="0.3"/>
  <cols>
    <col min="3" max="3" width="23.88671875" customWidth="1"/>
    <col min="4" max="4" width="18.6640625" customWidth="1"/>
    <col min="5" max="5" width="18.44140625" customWidth="1"/>
    <col min="9" max="9" width="12.5546875" customWidth="1"/>
  </cols>
  <sheetData>
    <row r="2" spans="3:22" ht="15" thickBot="1" x14ac:dyDescent="0.35"/>
    <row r="3" spans="3:22" ht="15.6" thickTop="1" thickBot="1" x14ac:dyDescent="0.35">
      <c r="C3" s="8"/>
      <c r="D3" s="9" t="s">
        <v>3</v>
      </c>
      <c r="E3" s="8"/>
      <c r="G3" t="s">
        <v>175</v>
      </c>
      <c r="I3" t="s">
        <v>176</v>
      </c>
      <c r="J3" t="s">
        <v>177</v>
      </c>
      <c r="N3" t="s">
        <v>181</v>
      </c>
      <c r="Q3" t="s">
        <v>108</v>
      </c>
      <c r="T3" t="s">
        <v>156</v>
      </c>
      <c r="V3" t="s">
        <v>187</v>
      </c>
    </row>
    <row r="4" spans="3:22" ht="15" thickTop="1" x14ac:dyDescent="0.3">
      <c r="C4" s="5" t="s">
        <v>2</v>
      </c>
      <c r="D4" s="6" t="s">
        <v>0</v>
      </c>
      <c r="E4" s="7" t="s">
        <v>1</v>
      </c>
      <c r="G4">
        <f>0.14*SQRT((D6-E6)/E6)</f>
        <v>0.70121633454026666</v>
      </c>
      <c r="I4">
        <v>16</v>
      </c>
      <c r="N4" t="s">
        <v>84</v>
      </c>
      <c r="O4">
        <v>16</v>
      </c>
      <c r="Q4" t="s">
        <v>138</v>
      </c>
      <c r="R4">
        <f>0.046 * SQRT((D6-E6)/E6)</f>
        <v>0.23039965277751615</v>
      </c>
      <c r="T4">
        <f>0.8*0.048*SQRT((D6-E6)/E6)</f>
        <v>0.19233362318818742</v>
      </c>
      <c r="V4">
        <f>0.75*0.14*SQRT((D6-E6)/E6)</f>
        <v>0.5259122509052</v>
      </c>
    </row>
    <row r="5" spans="3:22" x14ac:dyDescent="0.3">
      <c r="C5" s="4" t="s">
        <v>16</v>
      </c>
      <c r="D5" s="1">
        <f>0.01*E5</f>
        <v>1332.07</v>
      </c>
      <c r="E5" s="2">
        <v>133207</v>
      </c>
      <c r="G5">
        <f>G4*0.75</f>
        <v>0.5259122509052</v>
      </c>
      <c r="I5">
        <f>PI()/4*(I4*25.4/1000)^2</f>
        <v>0.12971711464895941</v>
      </c>
      <c r="L5">
        <f>I11</f>
        <v>2.3126215277777775E-2</v>
      </c>
      <c r="N5" t="s">
        <v>182</v>
      </c>
      <c r="O5">
        <f>(3.14/4)*((O4*25.4/1000)^2)</f>
        <v>0.12965135359999999</v>
      </c>
      <c r="Q5" t="s">
        <v>186</v>
      </c>
      <c r="R5">
        <f>E5/E6/3600</f>
        <v>1.0054876207729468</v>
      </c>
      <c r="T5">
        <f>R5</f>
        <v>1.0054876207729468</v>
      </c>
      <c r="V5">
        <f>T5</f>
        <v>1.0054876207729468</v>
      </c>
    </row>
    <row r="6" spans="3:22" x14ac:dyDescent="0.3">
      <c r="C6" s="4" t="s">
        <v>22</v>
      </c>
      <c r="D6" s="1">
        <v>960</v>
      </c>
      <c r="E6" s="2">
        <v>36.799999999999997</v>
      </c>
      <c r="G6">
        <f>E5/E6/3600</f>
        <v>1.0054876207729468</v>
      </c>
      <c r="I6">
        <f>E5/E6/I5/3600</f>
        <v>7.7513874980491098</v>
      </c>
      <c r="L6">
        <f>3.14*G7*G7/4</f>
        <v>1.9118923718591876</v>
      </c>
      <c r="N6" t="s">
        <v>183</v>
      </c>
      <c r="O6">
        <f>E6</f>
        <v>36.799999999999997</v>
      </c>
      <c r="Q6" t="s">
        <v>166</v>
      </c>
      <c r="R6">
        <f>1000*SQRT((4/3.14)*(R5/R4))</f>
        <v>2357.8307403628019</v>
      </c>
      <c r="T6">
        <f>1000*SQRT((4/3.14)*(T5/T4))</f>
        <v>2580.6311143121575</v>
      </c>
      <c r="V6">
        <f>1000*SQRT((4/3.14)*(V5/V4))</f>
        <v>1560.6190066435349</v>
      </c>
    </row>
    <row r="7" spans="3:22" x14ac:dyDescent="0.3">
      <c r="C7" s="4" t="s">
        <v>17</v>
      </c>
      <c r="D7" s="1"/>
      <c r="E7" s="2">
        <v>16.739999999999998</v>
      </c>
      <c r="G7">
        <f xml:space="preserve"> (4*G6/G5/3.14)^0.5</f>
        <v>1.560619006643535</v>
      </c>
      <c r="I7">
        <f>E6*I6*I6</f>
        <v>2211.0914997327627</v>
      </c>
      <c r="L7">
        <f>3*L5/L6</f>
        <v>3.628794531245879E-2</v>
      </c>
      <c r="N7" t="s">
        <v>184</v>
      </c>
      <c r="O7">
        <f>(E5)/O6/O5/3600</f>
        <v>7.7553191143308435</v>
      </c>
    </row>
    <row r="8" spans="3:22" x14ac:dyDescent="0.3">
      <c r="C8" s="4" t="s">
        <v>18</v>
      </c>
      <c r="D8" s="1"/>
      <c r="E8" s="2">
        <v>40</v>
      </c>
      <c r="N8" t="s">
        <v>185</v>
      </c>
      <c r="O8">
        <f>O6*O7*O7</f>
        <v>2213.3350639958762</v>
      </c>
    </row>
    <row r="9" spans="3:22" x14ac:dyDescent="0.3">
      <c r="C9" s="4" t="s">
        <v>19</v>
      </c>
      <c r="D9" s="1"/>
      <c r="E9" s="2">
        <v>52</v>
      </c>
    </row>
    <row r="10" spans="3:22" x14ac:dyDescent="0.3">
      <c r="C10" s="4" t="s">
        <v>20</v>
      </c>
      <c r="D10" s="1"/>
      <c r="E10" s="2">
        <v>85</v>
      </c>
      <c r="G10" t="s">
        <v>108</v>
      </c>
      <c r="K10" t="s">
        <v>181</v>
      </c>
    </row>
    <row r="11" spans="3:22" x14ac:dyDescent="0.3">
      <c r="C11" s="4" t="s">
        <v>21</v>
      </c>
      <c r="D11" s="1"/>
      <c r="E11" s="2">
        <v>60</v>
      </c>
      <c r="G11">
        <f>0.046*SQRT((D6-E6)/E6)</f>
        <v>0.23039965277751615</v>
      </c>
      <c r="I11">
        <f>D5/D6/60</f>
        <v>2.3126215277777775E-2</v>
      </c>
    </row>
    <row r="12" spans="3:22" x14ac:dyDescent="0.3">
      <c r="C12" s="4"/>
      <c r="D12" s="1"/>
      <c r="E12" s="2"/>
      <c r="G12">
        <f>(4*G6/G11/3.14)^0.5</f>
        <v>2.357830740362802</v>
      </c>
      <c r="I12">
        <f>3.14*G12*G12/4</f>
        <v>4.3641021531568427</v>
      </c>
    </row>
    <row r="13" spans="3:22" x14ac:dyDescent="0.3">
      <c r="C13" s="4"/>
      <c r="D13" s="1"/>
      <c r="E13" s="2"/>
      <c r="I13">
        <f>10*I11/I12</f>
        <v>5.2991920138828696E-2</v>
      </c>
    </row>
    <row r="14" spans="3:22" x14ac:dyDescent="0.3">
      <c r="C14" s="4"/>
      <c r="D14" s="1"/>
      <c r="E14" s="2"/>
      <c r="G14" t="s">
        <v>156</v>
      </c>
    </row>
    <row r="15" spans="3:22" x14ac:dyDescent="0.3">
      <c r="C15" s="4"/>
      <c r="D15" s="1"/>
      <c r="E15" s="2"/>
      <c r="G15">
        <f>0.048*SQRT((D6-E6)/E6)</f>
        <v>0.24041702898523426</v>
      </c>
      <c r="I15">
        <f>I11</f>
        <v>2.3126215277777775E-2</v>
      </c>
    </row>
    <row r="16" spans="3:22" x14ac:dyDescent="0.3">
      <c r="C16" s="4"/>
      <c r="D16" s="1"/>
      <c r="E16" s="2"/>
      <c r="G16">
        <f>G15*0.8</f>
        <v>0.19233362318818742</v>
      </c>
      <c r="I16">
        <f>3.14*G18*G18/4</f>
        <v>5.2252954181425952</v>
      </c>
    </row>
    <row r="17" spans="3:9" x14ac:dyDescent="0.3">
      <c r="C17" s="4"/>
      <c r="D17" s="1"/>
      <c r="E17" s="2"/>
      <c r="G17">
        <v>1.0049999999999999</v>
      </c>
      <c r="I17">
        <f>5*I15/I16</f>
        <v>2.212909838310952E-2</v>
      </c>
    </row>
    <row r="18" spans="3:9" ht="15" thickBot="1" x14ac:dyDescent="0.35">
      <c r="G18">
        <f>(4*G17/G16/3.14)^0.5</f>
        <v>2.5800052876414967</v>
      </c>
    </row>
    <row r="19" spans="3:9" ht="15" thickTop="1" x14ac:dyDescent="0.3">
      <c r="D19" s="10" t="s">
        <v>4</v>
      </c>
    </row>
    <row r="20" spans="3:9" x14ac:dyDescent="0.3">
      <c r="C20" s="4" t="s">
        <v>2</v>
      </c>
      <c r="D20" s="1" t="s">
        <v>9</v>
      </c>
    </row>
    <row r="21" spans="3:9" x14ac:dyDescent="0.3">
      <c r="C21" s="4" t="s">
        <v>24</v>
      </c>
      <c r="D21" s="1">
        <v>1550</v>
      </c>
    </row>
    <row r="22" spans="3:9" x14ac:dyDescent="0.3">
      <c r="C22" s="4" t="s">
        <v>5</v>
      </c>
      <c r="D22" s="1">
        <v>2550</v>
      </c>
    </row>
    <row r="23" spans="3:9" x14ac:dyDescent="0.3">
      <c r="C23" s="4" t="s">
        <v>6</v>
      </c>
      <c r="D23" s="1" t="s">
        <v>37</v>
      </c>
    </row>
    <row r="24" spans="3:9" x14ac:dyDescent="0.3">
      <c r="C24" s="4" t="s">
        <v>7</v>
      </c>
      <c r="D24" s="1" t="s">
        <v>26</v>
      </c>
    </row>
    <row r="25" spans="3:9" x14ac:dyDescent="0.3">
      <c r="C25" s="4" t="s">
        <v>8</v>
      </c>
      <c r="D25" s="1" t="s">
        <v>26</v>
      </c>
    </row>
    <row r="26" spans="3:9" x14ac:dyDescent="0.3">
      <c r="C26" s="4" t="s">
        <v>10</v>
      </c>
      <c r="D26" s="1">
        <v>500</v>
      </c>
    </row>
    <row r="27" spans="3:9" x14ac:dyDescent="0.3">
      <c r="C27" s="4" t="s">
        <v>11</v>
      </c>
      <c r="D27" s="1">
        <v>600</v>
      </c>
    </row>
    <row r="28" spans="3:9" x14ac:dyDescent="0.3">
      <c r="C28" s="4" t="s">
        <v>12</v>
      </c>
      <c r="D28" s="1">
        <v>800</v>
      </c>
    </row>
    <row r="29" spans="3:9" x14ac:dyDescent="0.3">
      <c r="C29" s="4" t="s">
        <v>13</v>
      </c>
      <c r="D29" s="1">
        <v>900</v>
      </c>
    </row>
    <row r="30" spans="3:9" x14ac:dyDescent="0.3">
      <c r="C30" s="4" t="s">
        <v>14</v>
      </c>
      <c r="D30" s="1" t="s">
        <v>27</v>
      </c>
    </row>
    <row r="31" spans="3:9" x14ac:dyDescent="0.3">
      <c r="C31" s="4" t="s">
        <v>15</v>
      </c>
      <c r="D31" s="1" t="s">
        <v>28</v>
      </c>
    </row>
    <row r="32" spans="3:9" x14ac:dyDescent="0.3">
      <c r="C32" s="4" t="s">
        <v>29</v>
      </c>
      <c r="D32" s="1"/>
    </row>
    <row r="33" spans="3:4" x14ac:dyDescent="0.3">
      <c r="C33" s="4" t="s">
        <v>6</v>
      </c>
      <c r="D33" s="1"/>
    </row>
    <row r="34" spans="3:4" x14ac:dyDescent="0.3">
      <c r="C34" s="4" t="s">
        <v>35</v>
      </c>
      <c r="D34" s="1"/>
    </row>
    <row r="35" spans="3:4" x14ac:dyDescent="0.3">
      <c r="C35" s="4" t="s">
        <v>31</v>
      </c>
      <c r="D35" s="1"/>
    </row>
    <row r="36" spans="3:4" x14ac:dyDescent="0.3">
      <c r="C36" s="4" t="s">
        <v>32</v>
      </c>
      <c r="D36" s="1"/>
    </row>
    <row r="37" spans="3:4" x14ac:dyDescent="0.3">
      <c r="C37" s="4" t="s">
        <v>33</v>
      </c>
      <c r="D37" s="1"/>
    </row>
    <row r="38" spans="3:4" x14ac:dyDescent="0.3">
      <c r="C38" s="4"/>
      <c r="D38" s="1"/>
    </row>
    <row r="39" spans="3:4" x14ac:dyDescent="0.3">
      <c r="C39" s="4"/>
      <c r="D39" s="1"/>
    </row>
    <row r="40" spans="3:4" x14ac:dyDescent="0.3">
      <c r="C40" s="4"/>
      <c r="D40" s="11" t="s">
        <v>23</v>
      </c>
    </row>
    <row r="41" spans="3:4" x14ac:dyDescent="0.3">
      <c r="C41" s="4"/>
      <c r="D41" s="11"/>
    </row>
    <row r="42" spans="3:4" x14ac:dyDescent="0.3">
      <c r="C42" s="4"/>
      <c r="D42" s="11"/>
    </row>
    <row r="43" spans="3:4" x14ac:dyDescent="0.3">
      <c r="C43" s="4"/>
      <c r="D43" s="11"/>
    </row>
    <row r="44" spans="3:4" x14ac:dyDescent="0.3">
      <c r="C44" s="4"/>
      <c r="D44" s="11"/>
    </row>
    <row r="45" spans="3:4" x14ac:dyDescent="0.3">
      <c r="C45" s="4"/>
      <c r="D45" s="11"/>
    </row>
    <row r="46" spans="3:4" x14ac:dyDescent="0.3">
      <c r="C46" s="4"/>
      <c r="D46" s="11"/>
    </row>
    <row r="47" spans="3:4" x14ac:dyDescent="0.3">
      <c r="C47" s="4"/>
      <c r="D47" s="11"/>
    </row>
    <row r="48" spans="3:4" x14ac:dyDescent="0.3">
      <c r="C48" s="4"/>
      <c r="D48" s="11"/>
    </row>
    <row r="49" spans="3:4" x14ac:dyDescent="0.3">
      <c r="C49" s="3"/>
      <c r="D49" s="11"/>
    </row>
    <row r="50" spans="3:4" x14ac:dyDescent="0.3">
      <c r="C50" s="3"/>
      <c r="D50" s="11"/>
    </row>
    <row r="51" spans="3:4" x14ac:dyDescent="0.3">
      <c r="C51" s="3"/>
      <c r="D51" s="11"/>
    </row>
    <row r="52" spans="3:4" x14ac:dyDescent="0.3">
      <c r="C52" s="3"/>
      <c r="D52" s="11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F3E66-D8B0-4613-B855-2CB38FD95B44}">
  <dimension ref="C2:M57"/>
  <sheetViews>
    <sheetView workbookViewId="0">
      <selection activeCell="H18" sqref="H18"/>
    </sheetView>
  </sheetViews>
  <sheetFormatPr defaultRowHeight="14.4" x14ac:dyDescent="0.3"/>
  <cols>
    <col min="3" max="3" width="25" customWidth="1"/>
    <col min="4" max="4" width="22.5546875" customWidth="1"/>
    <col min="5" max="5" width="18.44140625" customWidth="1"/>
    <col min="11" max="11" width="13.88671875" customWidth="1"/>
    <col min="12" max="12" width="13" customWidth="1"/>
    <col min="13" max="13" width="11" customWidth="1"/>
  </cols>
  <sheetData>
    <row r="2" spans="3:13" ht="15" thickBot="1" x14ac:dyDescent="0.35"/>
    <row r="3" spans="3:13" ht="15.6" thickTop="1" thickBot="1" x14ac:dyDescent="0.35">
      <c r="C3" s="8"/>
      <c r="D3" s="9" t="s">
        <v>3</v>
      </c>
      <c r="E3" s="8"/>
      <c r="L3" s="26" t="s">
        <v>109</v>
      </c>
    </row>
    <row r="4" spans="3:13" ht="15" thickTop="1" x14ac:dyDescent="0.3">
      <c r="C4" s="4" t="s">
        <v>2</v>
      </c>
      <c r="D4" s="6" t="s">
        <v>0</v>
      </c>
      <c r="E4" s="7" t="s">
        <v>1</v>
      </c>
      <c r="G4" t="s">
        <v>161</v>
      </c>
      <c r="H4">
        <f>E5/E6/3600</f>
        <v>0.32215387619605546</v>
      </c>
      <c r="K4" s="4" t="s">
        <v>2</v>
      </c>
      <c r="L4" s="19" t="s">
        <v>23</v>
      </c>
    </row>
    <row r="5" spans="3:13" x14ac:dyDescent="0.3">
      <c r="C5" s="4" t="s">
        <v>16</v>
      </c>
      <c r="D5" s="1">
        <v>240105</v>
      </c>
      <c r="E5" s="2">
        <v>6599</v>
      </c>
      <c r="G5" t="s">
        <v>162</v>
      </c>
      <c r="H5">
        <f>Table1814172026325[[#This Row],[INLET]]/D6/60</f>
        <v>5.1238796414852752</v>
      </c>
      <c r="K5" s="4" t="s">
        <v>110</v>
      </c>
      <c r="L5" s="19">
        <f t="shared" ref="L5" si="0" xml:space="preserve"> (E9+1) * 14.5</f>
        <v>72.5</v>
      </c>
    </row>
    <row r="6" spans="3:13" x14ac:dyDescent="0.3">
      <c r="C6" s="4" t="s">
        <v>22</v>
      </c>
      <c r="D6" s="1">
        <v>781</v>
      </c>
      <c r="E6" s="2">
        <v>5.69</v>
      </c>
      <c r="G6" t="s">
        <v>163</v>
      </c>
      <c r="H6">
        <f>0.05*SQRT((Table1814172026325[[#This Row],[INLET]]-E6)/E6)</f>
        <v>0.58364875562899632</v>
      </c>
      <c r="K6" s="4" t="s">
        <v>87</v>
      </c>
      <c r="L6" s="19">
        <f>IF(L5&lt;15,(0.1821+0.0029*L5+0.046*LN(L5)),IF(L5&lt;=40,0.35,(0.43-0.023*LN(L5))))*0.3048</f>
        <v>0.10103434476673225</v>
      </c>
      <c r="M6" s="27" t="s">
        <v>111</v>
      </c>
    </row>
    <row r="7" spans="3:13" x14ac:dyDescent="0.3">
      <c r="C7" s="4" t="s">
        <v>17</v>
      </c>
      <c r="D7" s="1"/>
      <c r="E7" s="2">
        <v>29.9</v>
      </c>
      <c r="G7" t="s">
        <v>132</v>
      </c>
      <c r="H7">
        <f>0.75*H6</f>
        <v>0.43773656672174721</v>
      </c>
      <c r="K7" s="4" t="s">
        <v>87</v>
      </c>
      <c r="L7" s="19">
        <f>(0.35-0.01*((L5-100)/100))*0.3048</f>
        <v>0.10751819999999999</v>
      </c>
      <c r="M7" s="29" t="s">
        <v>108</v>
      </c>
    </row>
    <row r="8" spans="3:13" x14ac:dyDescent="0.3">
      <c r="C8" s="4" t="s">
        <v>18</v>
      </c>
      <c r="D8" s="1">
        <v>47</v>
      </c>
      <c r="E8" s="2">
        <v>47</v>
      </c>
      <c r="G8" t="s">
        <v>164</v>
      </c>
      <c r="H8">
        <f>2*H5</f>
        <v>10.24775928297055</v>
      </c>
      <c r="K8" s="4" t="s">
        <v>75</v>
      </c>
      <c r="L8" s="19">
        <f>L6*((D6-E6)/E6)^0.5</f>
        <v>1.1793713919778854</v>
      </c>
    </row>
    <row r="9" spans="3:13" x14ac:dyDescent="0.3">
      <c r="C9" s="4" t="s">
        <v>19</v>
      </c>
      <c r="D9" s="1">
        <v>4</v>
      </c>
      <c r="E9" s="2">
        <v>4</v>
      </c>
      <c r="G9" t="s">
        <v>165</v>
      </c>
      <c r="H9">
        <f>1*H5</f>
        <v>5.1238796414852752</v>
      </c>
      <c r="K9" s="4" t="s">
        <v>82</v>
      </c>
      <c r="L9" s="19">
        <f>L8*0.75</f>
        <v>0.88452854398341407</v>
      </c>
    </row>
    <row r="10" spans="3:13" x14ac:dyDescent="0.3">
      <c r="C10" s="4" t="s">
        <v>20</v>
      </c>
      <c r="D10" s="1">
        <v>100</v>
      </c>
      <c r="E10" s="2">
        <v>100</v>
      </c>
      <c r="G10" t="s">
        <v>64</v>
      </c>
      <c r="H10">
        <v>3</v>
      </c>
      <c r="K10" s="4" t="s">
        <v>112</v>
      </c>
      <c r="L10" s="19">
        <v>2.2000000000000002</v>
      </c>
    </row>
    <row r="11" spans="3:13" x14ac:dyDescent="0.3">
      <c r="C11" s="4" t="s">
        <v>21</v>
      </c>
      <c r="D11" s="1">
        <v>7</v>
      </c>
      <c r="E11" s="2">
        <v>7</v>
      </c>
      <c r="G11" t="s">
        <v>166</v>
      </c>
      <c r="H11">
        <f>(4*(H8+H9)/(3.14*0.6*H10))^(1/3)</f>
        <v>2.2157767661585304</v>
      </c>
      <c r="K11" s="4" t="s">
        <v>113</v>
      </c>
      <c r="L11" s="19">
        <v>3</v>
      </c>
      <c r="M11" s="28" t="s">
        <v>115</v>
      </c>
    </row>
    <row r="12" spans="3:13" x14ac:dyDescent="0.3">
      <c r="C12" s="4"/>
      <c r="D12" s="1"/>
      <c r="E12" s="2"/>
      <c r="G12" t="s">
        <v>167</v>
      </c>
      <c r="H12">
        <f>3.14*H11*H11/4</f>
        <v>3.8540883417966447</v>
      </c>
      <c r="K12" s="4" t="s">
        <v>114</v>
      </c>
      <c r="L12" s="19">
        <f>L10*L11</f>
        <v>6.6000000000000005</v>
      </c>
    </row>
    <row r="13" spans="3:13" x14ac:dyDescent="0.3">
      <c r="C13" s="4"/>
      <c r="D13" s="1"/>
      <c r="E13" s="2"/>
      <c r="G13" t="s">
        <v>168</v>
      </c>
      <c r="H13">
        <v>0.72499999999999998</v>
      </c>
      <c r="K13" s="4" t="s">
        <v>116</v>
      </c>
      <c r="L13" s="19">
        <f>PI()/4*L10^2</f>
        <v>3.8013271108436504</v>
      </c>
    </row>
    <row r="14" spans="3:13" x14ac:dyDescent="0.3">
      <c r="C14" s="4"/>
      <c r="D14" s="1"/>
      <c r="E14" s="2"/>
      <c r="G14" t="s">
        <v>169</v>
      </c>
      <c r="H14">
        <f>H13/H11</f>
        <v>0.32719902612614044</v>
      </c>
      <c r="K14" s="4" t="s">
        <v>117</v>
      </c>
      <c r="L14" s="19">
        <v>0.32500000000000001</v>
      </c>
    </row>
    <row r="15" spans="3:13" x14ac:dyDescent="0.3">
      <c r="C15" s="4"/>
      <c r="D15" s="1"/>
      <c r="E15" s="2"/>
      <c r="G15" s="36" t="s">
        <v>120</v>
      </c>
      <c r="H15">
        <f>2*ACOS(1-2*H14)</f>
        <v>2.4358322855432077</v>
      </c>
      <c r="K15" s="4" t="s">
        <v>118</v>
      </c>
      <c r="L15" s="19">
        <v>0.4</v>
      </c>
    </row>
    <row r="16" spans="3:13" x14ac:dyDescent="0.3">
      <c r="C16" s="4"/>
      <c r="D16" s="1"/>
      <c r="E16" s="2"/>
      <c r="G16" t="s">
        <v>170</v>
      </c>
      <c r="H16">
        <f>(H15-SIN(H15))/2/PI()</f>
        <v>0.28444482391229275</v>
      </c>
      <c r="K16" s="4" t="s">
        <v>119</v>
      </c>
      <c r="L16" s="19">
        <f>(L14+L15)/L10</f>
        <v>0.32954545454545459</v>
      </c>
    </row>
    <row r="17" spans="3:12" x14ac:dyDescent="0.3">
      <c r="C17" s="4"/>
      <c r="D17" s="1"/>
      <c r="E17" s="2"/>
      <c r="G17" t="s">
        <v>171</v>
      </c>
      <c r="H17">
        <f>H16*H12</f>
        <v>1.0962754797247669</v>
      </c>
      <c r="K17" s="4" t="s">
        <v>120</v>
      </c>
      <c r="L17" s="19">
        <f>2*ACOS(1-2*L16)</f>
        <v>2.4458251593138853</v>
      </c>
    </row>
    <row r="18" spans="3:12" ht="15" thickBot="1" x14ac:dyDescent="0.35">
      <c r="G18" t="s">
        <v>129</v>
      </c>
      <c r="H18">
        <v>0.30480000000000002</v>
      </c>
      <c r="K18" s="4" t="s">
        <v>121</v>
      </c>
      <c r="L18" s="19">
        <f>(L17-SIN(L17))/2/PI()</f>
        <v>0.28725086773539088</v>
      </c>
    </row>
    <row r="19" spans="3:12" ht="15" thickTop="1" x14ac:dyDescent="0.3">
      <c r="D19" s="10" t="s">
        <v>4</v>
      </c>
      <c r="G19" t="s">
        <v>172</v>
      </c>
      <c r="H19">
        <f>H18/H11</f>
        <v>0.13755898367344499</v>
      </c>
      <c r="K19" s="4" t="s">
        <v>122</v>
      </c>
      <c r="L19" s="19">
        <f>(D5*(1+0)/D6/60)*(3/L12)</f>
        <v>2.3290362006751248</v>
      </c>
    </row>
    <row r="20" spans="3:12" x14ac:dyDescent="0.3">
      <c r="C20" s="4" t="s">
        <v>2</v>
      </c>
      <c r="D20" s="1" t="s">
        <v>9</v>
      </c>
      <c r="G20" s="36" t="s">
        <v>120</v>
      </c>
      <c r="H20">
        <f>2*ACOS(1-2*H19)</f>
        <v>1.5198663896152069</v>
      </c>
      <c r="K20" s="4" t="s">
        <v>123</v>
      </c>
      <c r="L20" s="19">
        <f>L18*L13</f>
        <v>1.0919345111359049</v>
      </c>
    </row>
    <row r="21" spans="3:12" x14ac:dyDescent="0.3">
      <c r="C21" s="4" t="s">
        <v>24</v>
      </c>
      <c r="D21" s="1">
        <v>2125</v>
      </c>
      <c r="G21" t="s">
        <v>173</v>
      </c>
      <c r="H21">
        <f>(H20-SIN(H20))/2/PI()</f>
        <v>8.2945673742410894E-2</v>
      </c>
      <c r="K21" s="4" t="s">
        <v>124</v>
      </c>
      <c r="L21" s="19">
        <f>L19+L20</f>
        <v>3.4209707118110297</v>
      </c>
    </row>
    <row r="22" spans="3:12" x14ac:dyDescent="0.3">
      <c r="C22" s="4" t="s">
        <v>5</v>
      </c>
      <c r="D22" s="1">
        <v>6450</v>
      </c>
      <c r="G22" t="s">
        <v>131</v>
      </c>
      <c r="H22">
        <f>H21*H12</f>
        <v>0.31967995417309392</v>
      </c>
      <c r="K22" s="4" t="s">
        <v>125</v>
      </c>
      <c r="L22" s="19">
        <f>L21/L13</f>
        <v>0.89994115530136365</v>
      </c>
    </row>
    <row r="23" spans="3:12" x14ac:dyDescent="0.3">
      <c r="C23" s="4" t="s">
        <v>6</v>
      </c>
      <c r="D23" s="1" t="s">
        <v>25</v>
      </c>
      <c r="G23" t="s">
        <v>114</v>
      </c>
      <c r="H23">
        <f>(H8+H9)/(H12-H22-H17)</f>
        <v>6.304676367172827</v>
      </c>
      <c r="K23" s="4" t="s">
        <v>126</v>
      </c>
      <c r="L23" s="19">
        <v>0.84350000000000003</v>
      </c>
    </row>
    <row r="24" spans="3:12" x14ac:dyDescent="0.3">
      <c r="C24" s="4" t="s">
        <v>7</v>
      </c>
      <c r="D24" s="1" t="s">
        <v>26</v>
      </c>
      <c r="G24" t="s">
        <v>130</v>
      </c>
      <c r="H24">
        <f>H18/H7</f>
        <v>0.69630920323307144</v>
      </c>
      <c r="K24" s="4" t="s">
        <v>120</v>
      </c>
      <c r="L24" s="19">
        <f>2*ACOS(1-2*L23)</f>
        <v>4.6562975721157738</v>
      </c>
    </row>
    <row r="25" spans="3:12" x14ac:dyDescent="0.3">
      <c r="C25" s="4" t="s">
        <v>8</v>
      </c>
      <c r="D25" s="1" t="s">
        <v>26</v>
      </c>
      <c r="G25" t="s">
        <v>174</v>
      </c>
      <c r="H25">
        <f>H4/H22</f>
        <v>1.0077387461761897</v>
      </c>
      <c r="K25" s="4" t="s">
        <v>127</v>
      </c>
      <c r="L25" s="19">
        <f>(L24-SIN(L24))/2/PI()-L22</f>
        <v>3.6258228513275093E-5</v>
      </c>
    </row>
    <row r="26" spans="3:12" x14ac:dyDescent="0.3">
      <c r="C26" s="4" t="s">
        <v>10</v>
      </c>
      <c r="D26" s="1">
        <v>325</v>
      </c>
      <c r="G26" t="s">
        <v>133</v>
      </c>
      <c r="H26">
        <f>H24*H25</f>
        <v>0.70169776341703705</v>
      </c>
      <c r="K26" s="4" t="s">
        <v>128</v>
      </c>
      <c r="L26" s="19">
        <f>L23*L10</f>
        <v>1.8557000000000001</v>
      </c>
    </row>
    <row r="27" spans="3:12" x14ac:dyDescent="0.3">
      <c r="C27" s="4" t="s">
        <v>11</v>
      </c>
      <c r="D27" s="1">
        <v>725</v>
      </c>
      <c r="K27" s="4" t="s">
        <v>129</v>
      </c>
      <c r="L27" s="21">
        <f>L10-L26</f>
        <v>0.34430000000000005</v>
      </c>
    </row>
    <row r="28" spans="3:12" x14ac:dyDescent="0.3">
      <c r="C28" s="4" t="s">
        <v>12</v>
      </c>
      <c r="D28" s="1">
        <v>1400</v>
      </c>
      <c r="K28" s="4" t="s">
        <v>130</v>
      </c>
      <c r="L28" s="21">
        <f>L27/L9</f>
        <v>0.38924690711445947</v>
      </c>
    </row>
    <row r="29" spans="3:12" x14ac:dyDescent="0.3">
      <c r="C29" s="4" t="s">
        <v>13</v>
      </c>
      <c r="D29" s="1">
        <v>1800</v>
      </c>
      <c r="K29" s="4" t="s">
        <v>131</v>
      </c>
      <c r="L29" s="21">
        <f>L13-L21</f>
        <v>0.38035639903262064</v>
      </c>
    </row>
    <row r="30" spans="3:12" x14ac:dyDescent="0.3">
      <c r="C30" s="4" t="s">
        <v>14</v>
      </c>
      <c r="D30" s="1"/>
      <c r="K30" s="4" t="s">
        <v>132</v>
      </c>
      <c r="L30" s="21">
        <f>E5/E6/3600/L29</f>
        <v>0.84697898343607581</v>
      </c>
    </row>
    <row r="31" spans="3:12" x14ac:dyDescent="0.3">
      <c r="C31" s="4" t="s">
        <v>15</v>
      </c>
      <c r="D31" s="1" t="s">
        <v>28</v>
      </c>
      <c r="K31" s="4" t="s">
        <v>133</v>
      </c>
      <c r="L31" s="21">
        <f>L30*L28</f>
        <v>0.3296839496934415</v>
      </c>
    </row>
    <row r="32" spans="3:12" x14ac:dyDescent="0.3">
      <c r="C32" s="4" t="s">
        <v>29</v>
      </c>
      <c r="D32" s="1"/>
      <c r="K32" s="1" t="s">
        <v>88</v>
      </c>
      <c r="L32" s="1" t="s">
        <v>3</v>
      </c>
    </row>
    <row r="33" spans="3:13" x14ac:dyDescent="0.3">
      <c r="C33" s="4" t="s">
        <v>6</v>
      </c>
      <c r="D33" s="1"/>
      <c r="K33" s="30" t="s">
        <v>84</v>
      </c>
      <c r="L33" s="31">
        <v>12</v>
      </c>
    </row>
    <row r="34" spans="3:13" x14ac:dyDescent="0.3">
      <c r="C34" s="4" t="s">
        <v>35</v>
      </c>
      <c r="D34" s="1"/>
      <c r="K34" s="30" t="s">
        <v>90</v>
      </c>
      <c r="L34" s="31">
        <f>((PI()/4)*(L33*25.4/1000)^2)</f>
        <v>7.296587699003966E-2</v>
      </c>
    </row>
    <row r="35" spans="3:13" x14ac:dyDescent="0.3">
      <c r="C35" s="4" t="s">
        <v>31</v>
      </c>
      <c r="D35" s="1"/>
      <c r="K35" s="30" t="s">
        <v>134</v>
      </c>
      <c r="L35" s="31">
        <f>(D5+E5)/((D5/D6)+(E5/E6))</f>
        <v>168.14764916122257</v>
      </c>
    </row>
    <row r="36" spans="3:13" x14ac:dyDescent="0.3">
      <c r="C36" s="4" t="s">
        <v>32</v>
      </c>
      <c r="D36" s="1"/>
      <c r="K36" s="30" t="s">
        <v>92</v>
      </c>
      <c r="L36" s="31">
        <f>(D5+E5)/L35/3600/L34</f>
        <v>5.5855132156698906</v>
      </c>
    </row>
    <row r="37" spans="3:13" x14ac:dyDescent="0.3">
      <c r="C37" s="4" t="s">
        <v>33</v>
      </c>
      <c r="D37" s="1"/>
      <c r="K37" s="30" t="s">
        <v>135</v>
      </c>
      <c r="L37" s="31">
        <f>L35*L36*L36</f>
        <v>5245.8632765602606</v>
      </c>
      <c r="M37" s="27">
        <v>6000</v>
      </c>
    </row>
    <row r="38" spans="3:13" x14ac:dyDescent="0.3">
      <c r="C38" s="4" t="s">
        <v>43</v>
      </c>
      <c r="D38" s="1" t="s">
        <v>44</v>
      </c>
      <c r="K38" s="30" t="s">
        <v>136</v>
      </c>
      <c r="L38" s="31">
        <f>E6*((E5/E6/3600/L34)^2)</f>
        <v>110.91732200338454</v>
      </c>
      <c r="M38" s="27">
        <v>3750</v>
      </c>
    </row>
    <row r="39" spans="3:13" x14ac:dyDescent="0.3">
      <c r="C39" s="4" t="s">
        <v>3</v>
      </c>
      <c r="D39" s="1">
        <v>18</v>
      </c>
      <c r="K39" s="17" t="s">
        <v>88</v>
      </c>
      <c r="L39" s="1" t="s">
        <v>137</v>
      </c>
    </row>
    <row r="40" spans="3:13" x14ac:dyDescent="0.3">
      <c r="C40" s="25" t="s">
        <v>139</v>
      </c>
      <c r="D40" s="1">
        <v>8</v>
      </c>
      <c r="K40" s="30" t="s">
        <v>84</v>
      </c>
      <c r="L40" s="31">
        <v>6</v>
      </c>
    </row>
    <row r="41" spans="3:13" x14ac:dyDescent="0.3">
      <c r="C41" s="25" t="s">
        <v>140</v>
      </c>
      <c r="D41" s="1">
        <v>14</v>
      </c>
      <c r="K41" s="30" t="s">
        <v>90</v>
      </c>
      <c r="L41" s="31">
        <f>(PI()/4)*((L40*25.4/1000)^2)</f>
        <v>1.8241469247509915E-2</v>
      </c>
    </row>
    <row r="42" spans="3:13" x14ac:dyDescent="0.3">
      <c r="C42" s="3"/>
      <c r="D42" s="1"/>
      <c r="K42" s="30" t="s">
        <v>92</v>
      </c>
      <c r="L42" s="31">
        <f>E5/E6/3600/L41</f>
        <v>17.660522396792771</v>
      </c>
    </row>
    <row r="43" spans="3:13" x14ac:dyDescent="0.3">
      <c r="C43" s="3"/>
      <c r="D43" s="1"/>
      <c r="K43" s="30" t="s">
        <v>136</v>
      </c>
      <c r="L43" s="31">
        <f>E6*L42^2</f>
        <v>1774.6771520541527</v>
      </c>
      <c r="M43" s="27">
        <v>3750</v>
      </c>
    </row>
    <row r="44" spans="3:13" x14ac:dyDescent="0.3">
      <c r="C44" s="3"/>
      <c r="D44" s="1"/>
      <c r="K44" s="17" t="s">
        <v>88</v>
      </c>
      <c r="L44" s="1" t="s">
        <v>0</v>
      </c>
    </row>
    <row r="45" spans="3:13" x14ac:dyDescent="0.3">
      <c r="C45" s="4"/>
      <c r="D45" s="16" t="s">
        <v>73</v>
      </c>
      <c r="K45" s="30" t="s">
        <v>84</v>
      </c>
      <c r="L45" s="31">
        <v>14</v>
      </c>
    </row>
    <row r="46" spans="3:13" x14ac:dyDescent="0.3">
      <c r="C46" s="4" t="s">
        <v>64</v>
      </c>
      <c r="D46" s="15">
        <f>D22/D21</f>
        <v>3.0352941176470587</v>
      </c>
      <c r="K46" s="30" t="s">
        <v>90</v>
      </c>
      <c r="L46" s="31">
        <f>(PI()/4)*((L45*25.4/1000)^2)</f>
        <v>9.9314665903109542E-2</v>
      </c>
    </row>
    <row r="47" spans="3:13" x14ac:dyDescent="0.3">
      <c r="C47" s="4" t="s">
        <v>141</v>
      </c>
      <c r="D47" s="15">
        <v>0</v>
      </c>
      <c r="K47" s="30" t="s">
        <v>138</v>
      </c>
      <c r="L47" s="31">
        <f>D5/D6/3600/L46</f>
        <v>0.85987294271389958</v>
      </c>
      <c r="M47" s="27">
        <v>1</v>
      </c>
    </row>
    <row r="48" spans="3:13" x14ac:dyDescent="0.3">
      <c r="C48" s="4"/>
      <c r="D48" s="15"/>
      <c r="K48" s="17"/>
      <c r="L48" s="1"/>
    </row>
    <row r="49" spans="3:12" x14ac:dyDescent="0.3">
      <c r="C49" s="4"/>
      <c r="D49" s="15"/>
      <c r="K49" s="30" t="s">
        <v>114</v>
      </c>
      <c r="L49" s="31">
        <f xml:space="preserve"> L31+1.5*((L40+L33)*25.4/1000)</f>
        <v>1.0154839496934414</v>
      </c>
    </row>
    <row r="50" spans="3:12" x14ac:dyDescent="0.3">
      <c r="C50" s="4" t="s">
        <v>68</v>
      </c>
      <c r="D50" s="15">
        <v>325</v>
      </c>
      <c r="L50" s="31"/>
    </row>
    <row r="51" spans="3:12" x14ac:dyDescent="0.3">
      <c r="C51" s="4" t="s">
        <v>69</v>
      </c>
      <c r="D51" s="15">
        <v>400</v>
      </c>
      <c r="L51" s="31"/>
    </row>
    <row r="52" spans="3:12" x14ac:dyDescent="0.3">
      <c r="C52" s="4" t="s">
        <v>70</v>
      </c>
      <c r="D52" s="15">
        <v>675</v>
      </c>
    </row>
    <row r="53" spans="3:12" x14ac:dyDescent="0.3">
      <c r="C53" s="4" t="s">
        <v>71</v>
      </c>
      <c r="D53" s="15">
        <v>400</v>
      </c>
    </row>
    <row r="54" spans="3:12" x14ac:dyDescent="0.3">
      <c r="C54" s="4" t="s">
        <v>72</v>
      </c>
      <c r="D54" s="15">
        <v>325</v>
      </c>
    </row>
    <row r="55" spans="3:12" x14ac:dyDescent="0.3">
      <c r="C55" s="4" t="s">
        <v>75</v>
      </c>
      <c r="D55" s="15"/>
    </row>
    <row r="56" spans="3:12" x14ac:dyDescent="0.3">
      <c r="C56" s="4" t="s">
        <v>76</v>
      </c>
      <c r="D56" s="15">
        <f xml:space="preserve"> 875 +D42</f>
        <v>875</v>
      </c>
    </row>
    <row r="57" spans="3:12" x14ac:dyDescent="0.3">
      <c r="C57" s="4" t="s">
        <v>78</v>
      </c>
      <c r="D57" s="15"/>
    </row>
  </sheetData>
  <pageMargins left="0.7" right="0.7" top="0.75" bottom="0.75" header="0.3" footer="0.3"/>
  <pageSetup orientation="landscape" r:id="rId1"/>
  <tableParts count="5">
    <tablePart r:id="rId2"/>
    <tablePart r:id="rId3"/>
    <tablePart r:id="rId4"/>
    <tablePart r:id="rId5"/>
    <tablePart r:id="rId6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58FC0-0F67-4971-9E11-EB4DF45B60B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FF794-88D8-4A8D-977C-E1FBA284E629}">
  <dimension ref="C2:M57"/>
  <sheetViews>
    <sheetView workbookViewId="0">
      <selection activeCell="H19" sqref="H19"/>
    </sheetView>
  </sheetViews>
  <sheetFormatPr defaultRowHeight="14.4" x14ac:dyDescent="0.3"/>
  <cols>
    <col min="3" max="3" width="25" customWidth="1"/>
    <col min="4" max="4" width="22.5546875" customWidth="1"/>
    <col min="5" max="5" width="18.44140625" customWidth="1"/>
    <col min="11" max="11" width="13.88671875" customWidth="1"/>
    <col min="12" max="12" width="13" customWidth="1"/>
    <col min="13" max="13" width="11" customWidth="1"/>
  </cols>
  <sheetData>
    <row r="2" spans="3:13" ht="15" thickBot="1" x14ac:dyDescent="0.35"/>
    <row r="3" spans="3:13" ht="15.6" thickTop="1" thickBot="1" x14ac:dyDescent="0.35">
      <c r="C3" s="8"/>
      <c r="D3" s="9" t="s">
        <v>3</v>
      </c>
      <c r="E3" s="8"/>
      <c r="L3" s="26" t="s">
        <v>109</v>
      </c>
    </row>
    <row r="4" spans="3:13" ht="15" thickTop="1" x14ac:dyDescent="0.3">
      <c r="C4" s="4" t="s">
        <v>2</v>
      </c>
      <c r="D4" s="6" t="s">
        <v>0</v>
      </c>
      <c r="E4" s="7" t="s">
        <v>1</v>
      </c>
      <c r="G4" t="s">
        <v>161</v>
      </c>
      <c r="H4">
        <f>E5/E6/3600</f>
        <v>0.24041297935103248</v>
      </c>
      <c r="K4" s="4" t="s">
        <v>2</v>
      </c>
      <c r="L4" s="19" t="s">
        <v>23</v>
      </c>
    </row>
    <row r="5" spans="3:13" x14ac:dyDescent="0.3">
      <c r="C5" s="4" t="s">
        <v>16</v>
      </c>
      <c r="D5" s="1">
        <v>111377</v>
      </c>
      <c r="E5" s="2">
        <v>1956</v>
      </c>
      <c r="G5" t="s">
        <v>162</v>
      </c>
      <c r="H5">
        <f>Table1814172026325586368[[#This Row],[INLET]]/D6/60</f>
        <v>2.4684618794326241</v>
      </c>
      <c r="K5" s="4" t="s">
        <v>110</v>
      </c>
      <c r="L5" s="19">
        <f xml:space="preserve"> (E9+1) * 14.5</f>
        <v>72.5</v>
      </c>
    </row>
    <row r="6" spans="3:13" x14ac:dyDescent="0.3">
      <c r="C6" s="4" t="s">
        <v>22</v>
      </c>
      <c r="D6" s="1">
        <v>752</v>
      </c>
      <c r="E6" s="2">
        <v>2.2599999999999998</v>
      </c>
      <c r="G6" t="s">
        <v>163</v>
      </c>
      <c r="H6">
        <f>0.05*SQRT((Table1814172026325586368[[#This Row],[INLET]]-E6)/E6)</f>
        <v>0.91069116998005772</v>
      </c>
      <c r="K6" s="4" t="s">
        <v>87</v>
      </c>
      <c r="L6" s="19">
        <f>IF(L5&lt;15,(0.1821+0.0029*L5+0.046*LN(L5)),IF(L5&lt;=40,0.35,(0.43-0.023*LN(L5))))*0.3048</f>
        <v>0.10103434476673225</v>
      </c>
      <c r="M6" s="27" t="s">
        <v>111</v>
      </c>
    </row>
    <row r="7" spans="3:13" x14ac:dyDescent="0.3">
      <c r="C7" s="4" t="s">
        <v>17</v>
      </c>
      <c r="D7" s="1"/>
      <c r="E7" s="2">
        <v>29.9</v>
      </c>
      <c r="G7" t="s">
        <v>132</v>
      </c>
      <c r="H7">
        <f>0.75*H6</f>
        <v>0.68301837748504335</v>
      </c>
      <c r="K7" s="4" t="s">
        <v>87</v>
      </c>
      <c r="L7" s="19">
        <f>(0.35-0.01*((L5-100)/100))*0.3048</f>
        <v>0.10751819999999999</v>
      </c>
      <c r="M7" s="29" t="s">
        <v>108</v>
      </c>
    </row>
    <row r="8" spans="3:13" x14ac:dyDescent="0.3">
      <c r="C8" s="4" t="s">
        <v>18</v>
      </c>
      <c r="D8" s="1">
        <v>47</v>
      </c>
      <c r="E8" s="2">
        <v>47</v>
      </c>
      <c r="G8" t="s">
        <v>164</v>
      </c>
      <c r="H8">
        <f>5*H5</f>
        <v>12.34230939716312</v>
      </c>
      <c r="K8" s="4" t="s">
        <v>75</v>
      </c>
      <c r="L8" s="19">
        <f>L6*((D6-E6)/E6)^0.5</f>
        <v>1.8402217128756782</v>
      </c>
    </row>
    <row r="9" spans="3:13" x14ac:dyDescent="0.3">
      <c r="C9" s="4" t="s">
        <v>19</v>
      </c>
      <c r="D9" s="1">
        <v>4</v>
      </c>
      <c r="E9" s="2">
        <v>4</v>
      </c>
      <c r="G9" t="s">
        <v>165</v>
      </c>
      <c r="H9">
        <v>0</v>
      </c>
      <c r="K9" s="4" t="s">
        <v>82</v>
      </c>
      <c r="L9" s="19">
        <f>L8*0.75</f>
        <v>1.3801662846567586</v>
      </c>
    </row>
    <row r="10" spans="3:13" x14ac:dyDescent="0.3">
      <c r="C10" s="4" t="s">
        <v>20</v>
      </c>
      <c r="D10" s="1">
        <v>100</v>
      </c>
      <c r="E10" s="2">
        <v>100</v>
      </c>
      <c r="G10" t="s">
        <v>64</v>
      </c>
      <c r="H10">
        <v>3</v>
      </c>
      <c r="K10" s="4" t="s">
        <v>112</v>
      </c>
      <c r="L10" s="19">
        <v>2.2000000000000002</v>
      </c>
    </row>
    <row r="11" spans="3:13" x14ac:dyDescent="0.3">
      <c r="C11" s="4" t="s">
        <v>21</v>
      </c>
      <c r="D11" s="1">
        <v>7</v>
      </c>
      <c r="E11" s="2">
        <v>7</v>
      </c>
      <c r="G11" t="s">
        <v>166</v>
      </c>
      <c r="H11">
        <f>(4*(H8+H9)/(3.14*0.6*H10))^(1/3)</f>
        <v>2.0594508058883534</v>
      </c>
      <c r="K11" s="4" t="s">
        <v>113</v>
      </c>
      <c r="L11" s="19">
        <v>3</v>
      </c>
      <c r="M11" s="28" t="s">
        <v>115</v>
      </c>
    </row>
    <row r="12" spans="3:13" x14ac:dyDescent="0.3">
      <c r="C12" s="4"/>
      <c r="D12" s="1"/>
      <c r="E12" s="2"/>
      <c r="G12" t="s">
        <v>167</v>
      </c>
      <c r="H12">
        <f>3.14*H11*H11/4</f>
        <v>3.3294500331712378</v>
      </c>
      <c r="K12" s="4" t="s">
        <v>114</v>
      </c>
      <c r="L12" s="19">
        <f>L10*L11</f>
        <v>6.6000000000000005</v>
      </c>
    </row>
    <row r="13" spans="3:13" x14ac:dyDescent="0.3">
      <c r="C13" s="4"/>
      <c r="D13" s="1"/>
      <c r="E13" s="2"/>
      <c r="G13" t="s">
        <v>168</v>
      </c>
      <c r="H13">
        <v>0.875</v>
      </c>
      <c r="K13" s="4" t="s">
        <v>116</v>
      </c>
      <c r="L13" s="19">
        <f>PI()/4*L10^2</f>
        <v>3.8013271108436504</v>
      </c>
    </row>
    <row r="14" spans="3:13" x14ac:dyDescent="0.3">
      <c r="C14" s="4"/>
      <c r="D14" s="1"/>
      <c r="E14" s="2"/>
      <c r="G14" t="s">
        <v>169</v>
      </c>
      <c r="H14">
        <f>H13/H11</f>
        <v>0.42487055165299992</v>
      </c>
      <c r="K14" s="4" t="s">
        <v>117</v>
      </c>
      <c r="L14" s="19">
        <v>0.32500000000000001</v>
      </c>
    </row>
    <row r="15" spans="3:13" x14ac:dyDescent="0.3">
      <c r="C15" s="4"/>
      <c r="D15" s="1"/>
      <c r="E15" s="2"/>
      <c r="G15" s="36" t="s">
        <v>120</v>
      </c>
      <c r="H15">
        <f>2*ACOS(1-2*H14)</f>
        <v>2.8399323788831574</v>
      </c>
      <c r="K15" s="4" t="s">
        <v>118</v>
      </c>
      <c r="L15" s="19">
        <v>0.4</v>
      </c>
    </row>
    <row r="16" spans="3:13" x14ac:dyDescent="0.3">
      <c r="C16" s="4"/>
      <c r="D16" s="1"/>
      <c r="E16" s="2"/>
      <c r="G16" t="s">
        <v>170</v>
      </c>
      <c r="H16">
        <f>(H15-SIN(H15))/2/PI()</f>
        <v>0.40470340041349823</v>
      </c>
      <c r="K16" s="4" t="s">
        <v>119</v>
      </c>
      <c r="L16" s="19">
        <f>(L14+L15)/L10</f>
        <v>0.32954545454545459</v>
      </c>
    </row>
    <row r="17" spans="3:12" x14ac:dyDescent="0.3">
      <c r="C17" s="4"/>
      <c r="D17" s="1"/>
      <c r="E17" s="2"/>
      <c r="G17" t="s">
        <v>171</v>
      </c>
      <c r="H17">
        <f>H16*H12</f>
        <v>1.3474397499312345</v>
      </c>
      <c r="K17" s="4" t="s">
        <v>120</v>
      </c>
      <c r="L17" s="19">
        <f>2*ACOS(1-2*L16)</f>
        <v>2.4458251593138853</v>
      </c>
    </row>
    <row r="18" spans="3:12" ht="15" thickBot="1" x14ac:dyDescent="0.35">
      <c r="G18" t="s">
        <v>129</v>
      </c>
      <c r="H18">
        <f>0.2*H11</f>
        <v>0.41189016117767069</v>
      </c>
      <c r="K18" s="4" t="s">
        <v>121</v>
      </c>
      <c r="L18" s="19">
        <f>(L17-SIN(L17))/2/PI()</f>
        <v>0.28725086773539088</v>
      </c>
    </row>
    <row r="19" spans="3:12" ht="15" thickTop="1" x14ac:dyDescent="0.3">
      <c r="D19" s="10" t="s">
        <v>4</v>
      </c>
      <c r="G19" t="s">
        <v>172</v>
      </c>
      <c r="H19">
        <f>H18/H11</f>
        <v>0.2</v>
      </c>
      <c r="K19" s="4" t="s">
        <v>122</v>
      </c>
      <c r="L19" s="19">
        <f>(D5*(1+0)/D6/60)*(3/L12)</f>
        <v>1.1220281270148291</v>
      </c>
    </row>
    <row r="20" spans="3:12" x14ac:dyDescent="0.3">
      <c r="C20" s="4" t="s">
        <v>2</v>
      </c>
      <c r="D20" s="1" t="s">
        <v>9</v>
      </c>
      <c r="G20" s="36" t="s">
        <v>120</v>
      </c>
      <c r="H20">
        <f>2*ACOS(1-2*H19)</f>
        <v>1.8545904360032244</v>
      </c>
      <c r="K20" s="4" t="s">
        <v>123</v>
      </c>
      <c r="L20" s="19">
        <f>L18*L13</f>
        <v>1.0919345111359049</v>
      </c>
    </row>
    <row r="21" spans="3:12" x14ac:dyDescent="0.3">
      <c r="C21" s="4" t="s">
        <v>24</v>
      </c>
      <c r="D21" s="1">
        <v>2125</v>
      </c>
      <c r="G21" t="s">
        <v>173</v>
      </c>
      <c r="H21">
        <f>(H20-SIN(H20))/2/PI()</f>
        <v>0.14237848993264701</v>
      </c>
      <c r="K21" s="4" t="s">
        <v>124</v>
      </c>
      <c r="L21" s="19">
        <f>L19+L20</f>
        <v>2.213962638150734</v>
      </c>
    </row>
    <row r="22" spans="3:12" x14ac:dyDescent="0.3">
      <c r="C22" s="4" t="s">
        <v>5</v>
      </c>
      <c r="D22" s="1">
        <v>6450</v>
      </c>
      <c r="G22" t="s">
        <v>131</v>
      </c>
      <c r="H22">
        <f>H21*H12</f>
        <v>0.47404206802912235</v>
      </c>
      <c r="K22" s="4" t="s">
        <v>125</v>
      </c>
      <c r="L22" s="19">
        <f>L21/L13</f>
        <v>0.58241834327679753</v>
      </c>
    </row>
    <row r="23" spans="3:12" x14ac:dyDescent="0.3">
      <c r="C23" s="4" t="s">
        <v>6</v>
      </c>
      <c r="D23" s="1" t="s">
        <v>25</v>
      </c>
      <c r="G23" t="s">
        <v>114</v>
      </c>
      <c r="H23">
        <f>(H8+H9)/(H12-H22-H17)</f>
        <v>8.184727816320132</v>
      </c>
      <c r="K23" s="4" t="s">
        <v>126</v>
      </c>
      <c r="L23" s="19">
        <v>0.84350000000000003</v>
      </c>
    </row>
    <row r="24" spans="3:12" x14ac:dyDescent="0.3">
      <c r="C24" s="4" t="s">
        <v>7</v>
      </c>
      <c r="D24" s="1" t="s">
        <v>26</v>
      </c>
      <c r="G24" t="s">
        <v>130</v>
      </c>
      <c r="H24">
        <f>H18/H7</f>
        <v>0.60304403915792182</v>
      </c>
      <c r="K24" s="4" t="s">
        <v>120</v>
      </c>
      <c r="L24" s="19">
        <f>2*ACOS(1-2*L23)</f>
        <v>4.6562975721157738</v>
      </c>
    </row>
    <row r="25" spans="3:12" x14ac:dyDescent="0.3">
      <c r="C25" s="4" t="s">
        <v>8</v>
      </c>
      <c r="D25" s="1" t="s">
        <v>26</v>
      </c>
      <c r="G25" t="s">
        <v>174</v>
      </c>
      <c r="H25">
        <f>H4/H18</f>
        <v>0.58368225806522545</v>
      </c>
      <c r="K25" s="4" t="s">
        <v>127</v>
      </c>
      <c r="L25" s="19">
        <f>(L24-SIN(L24))/2/PI()-L22</f>
        <v>0.31755907025307939</v>
      </c>
    </row>
    <row r="26" spans="3:12" x14ac:dyDescent="0.3">
      <c r="C26" s="4" t="s">
        <v>10</v>
      </c>
      <c r="D26" s="1">
        <v>325</v>
      </c>
      <c r="G26" t="s">
        <v>133</v>
      </c>
      <c r="H26">
        <f>H24*H25</f>
        <v>0.35198610648847006</v>
      </c>
      <c r="K26" s="4" t="s">
        <v>128</v>
      </c>
      <c r="L26" s="19">
        <f>L23*L10</f>
        <v>1.8557000000000001</v>
      </c>
    </row>
    <row r="27" spans="3:12" x14ac:dyDescent="0.3">
      <c r="C27" s="4" t="s">
        <v>11</v>
      </c>
      <c r="D27" s="1">
        <v>725</v>
      </c>
      <c r="K27" s="4" t="s">
        <v>129</v>
      </c>
      <c r="L27" s="21">
        <f>L10-L26</f>
        <v>0.34430000000000005</v>
      </c>
    </row>
    <row r="28" spans="3:12" x14ac:dyDescent="0.3">
      <c r="C28" s="4" t="s">
        <v>12</v>
      </c>
      <c r="D28" s="1">
        <v>1400</v>
      </c>
      <c r="K28" s="4" t="s">
        <v>130</v>
      </c>
      <c r="L28" s="21">
        <f>L27/L9</f>
        <v>0.24946269433441925</v>
      </c>
    </row>
    <row r="29" spans="3:12" x14ac:dyDescent="0.3">
      <c r="C29" s="4" t="s">
        <v>13</v>
      </c>
      <c r="D29" s="1">
        <v>1800</v>
      </c>
      <c r="K29" s="4" t="s">
        <v>131</v>
      </c>
      <c r="L29" s="21">
        <f>L13-L21</f>
        <v>1.5873644726929164</v>
      </c>
    </row>
    <row r="30" spans="3:12" x14ac:dyDescent="0.3">
      <c r="C30" s="4" t="s">
        <v>14</v>
      </c>
      <c r="D30" s="1"/>
      <c r="K30" s="4" t="s">
        <v>132</v>
      </c>
      <c r="L30" s="21">
        <f>E5/E6/3600/L29</f>
        <v>0.15145417671039282</v>
      </c>
    </row>
    <row r="31" spans="3:12" x14ac:dyDescent="0.3">
      <c r="C31" s="4" t="s">
        <v>15</v>
      </c>
      <c r="D31" s="1" t="s">
        <v>28</v>
      </c>
      <c r="K31" s="4" t="s">
        <v>133</v>
      </c>
      <c r="L31" s="21">
        <f>L30*L28</f>
        <v>3.7782166990375843E-2</v>
      </c>
    </row>
    <row r="32" spans="3:12" x14ac:dyDescent="0.3">
      <c r="C32" s="4" t="s">
        <v>29</v>
      </c>
      <c r="D32" s="1"/>
      <c r="K32" s="1" t="s">
        <v>88</v>
      </c>
      <c r="L32" s="1" t="s">
        <v>3</v>
      </c>
    </row>
    <row r="33" spans="3:13" x14ac:dyDescent="0.3">
      <c r="C33" s="4" t="s">
        <v>6</v>
      </c>
      <c r="D33" s="1"/>
      <c r="K33" s="30" t="s">
        <v>84</v>
      </c>
      <c r="L33" s="31">
        <v>12</v>
      </c>
    </row>
    <row r="34" spans="3:13" x14ac:dyDescent="0.3">
      <c r="C34" s="4" t="s">
        <v>35</v>
      </c>
      <c r="D34" s="1"/>
      <c r="K34" s="30" t="s">
        <v>90</v>
      </c>
      <c r="L34" s="31">
        <f>((PI()/4)*(L33*25.4/1000)^2)</f>
        <v>7.296587699003966E-2</v>
      </c>
    </row>
    <row r="35" spans="3:13" x14ac:dyDescent="0.3">
      <c r="C35" s="4" t="s">
        <v>31</v>
      </c>
      <c r="D35" s="1"/>
      <c r="K35" s="30" t="s">
        <v>134</v>
      </c>
      <c r="L35" s="31">
        <f>(D5+E5)/((D5/D6)+(E5/E6))</f>
        <v>111.81296552453738</v>
      </c>
    </row>
    <row r="36" spans="3:13" x14ac:dyDescent="0.3">
      <c r="C36" s="4" t="s">
        <v>32</v>
      </c>
      <c r="D36" s="1"/>
      <c r="K36" s="30" t="s">
        <v>92</v>
      </c>
      <c r="L36" s="31">
        <f>(D5+E5)/L35/3600/L34</f>
        <v>3.8587079644549958</v>
      </c>
    </row>
    <row r="37" spans="3:13" x14ac:dyDescent="0.3">
      <c r="C37" s="4" t="s">
        <v>33</v>
      </c>
      <c r="D37" s="1"/>
      <c r="K37" s="30" t="s">
        <v>135</v>
      </c>
      <c r="L37" s="31">
        <f>L35*L36*L36</f>
        <v>1664.8533677494629</v>
      </c>
      <c r="M37" s="27">
        <v>6000</v>
      </c>
    </row>
    <row r="38" spans="3:13" x14ac:dyDescent="0.3">
      <c r="C38" s="4" t="s">
        <v>43</v>
      </c>
      <c r="D38" s="1" t="s">
        <v>44</v>
      </c>
      <c r="K38" s="30" t="s">
        <v>136</v>
      </c>
      <c r="L38" s="31">
        <f>E6*((E5/E6/3600/L34)^2)</f>
        <v>24.534920033072972</v>
      </c>
      <c r="M38" s="27">
        <v>3750</v>
      </c>
    </row>
    <row r="39" spans="3:13" x14ac:dyDescent="0.3">
      <c r="C39" s="4" t="s">
        <v>3</v>
      </c>
      <c r="D39" s="1">
        <v>18</v>
      </c>
      <c r="K39" s="17" t="s">
        <v>88</v>
      </c>
      <c r="L39" s="1" t="s">
        <v>137</v>
      </c>
    </row>
    <row r="40" spans="3:13" x14ac:dyDescent="0.3">
      <c r="C40" s="25" t="s">
        <v>139</v>
      </c>
      <c r="D40" s="1">
        <v>8</v>
      </c>
      <c r="K40" s="30" t="s">
        <v>84</v>
      </c>
      <c r="L40" s="31">
        <v>6</v>
      </c>
    </row>
    <row r="41" spans="3:13" x14ac:dyDescent="0.3">
      <c r="C41" s="25" t="s">
        <v>140</v>
      </c>
      <c r="D41" s="1">
        <v>14</v>
      </c>
      <c r="K41" s="30" t="s">
        <v>90</v>
      </c>
      <c r="L41" s="31">
        <f>(PI()/4)*((L40*25.4/1000)^2)</f>
        <v>1.8241469247509915E-2</v>
      </c>
    </row>
    <row r="42" spans="3:13" x14ac:dyDescent="0.3">
      <c r="C42" s="3"/>
      <c r="D42" s="1"/>
      <c r="K42" s="30" t="s">
        <v>92</v>
      </c>
      <c r="L42" s="31">
        <f>E5/E6/3600/L41</f>
        <v>13.179474530750888</v>
      </c>
    </row>
    <row r="43" spans="3:13" x14ac:dyDescent="0.3">
      <c r="C43" s="3"/>
      <c r="D43" s="1"/>
      <c r="K43" s="30" t="s">
        <v>136</v>
      </c>
      <c r="L43" s="31">
        <f>E6*L42^2</f>
        <v>392.55872052916754</v>
      </c>
      <c r="M43" s="27">
        <v>3750</v>
      </c>
    </row>
    <row r="44" spans="3:13" x14ac:dyDescent="0.3">
      <c r="C44" s="3"/>
      <c r="D44" s="1"/>
      <c r="K44" s="17" t="s">
        <v>88</v>
      </c>
      <c r="L44" s="1" t="s">
        <v>0</v>
      </c>
    </row>
    <row r="45" spans="3:13" x14ac:dyDescent="0.3">
      <c r="C45" s="4"/>
      <c r="D45" s="16" t="s">
        <v>73</v>
      </c>
      <c r="K45" s="30" t="s">
        <v>84</v>
      </c>
      <c r="L45" s="31">
        <v>14</v>
      </c>
    </row>
    <row r="46" spans="3:13" x14ac:dyDescent="0.3">
      <c r="C46" s="4" t="s">
        <v>64</v>
      </c>
      <c r="D46" s="15">
        <f>D22/D21</f>
        <v>3.0352941176470587</v>
      </c>
      <c r="K46" s="30" t="s">
        <v>90</v>
      </c>
      <c r="L46" s="31">
        <f>(PI()/4)*((L45*25.4/1000)^2)</f>
        <v>9.9314665903109542E-2</v>
      </c>
    </row>
    <row r="47" spans="3:13" x14ac:dyDescent="0.3">
      <c r="C47" s="4" t="s">
        <v>141</v>
      </c>
      <c r="D47" s="15">
        <v>0</v>
      </c>
      <c r="K47" s="30" t="s">
        <v>138</v>
      </c>
      <c r="L47" s="31">
        <f>D5/D6/3600/L46</f>
        <v>0.41424930497187468</v>
      </c>
      <c r="M47" s="27">
        <v>1</v>
      </c>
    </row>
    <row r="48" spans="3:13" x14ac:dyDescent="0.3">
      <c r="C48" s="4"/>
      <c r="D48" s="15"/>
      <c r="K48" s="17"/>
      <c r="L48" s="1"/>
    </row>
    <row r="49" spans="3:12" x14ac:dyDescent="0.3">
      <c r="C49" s="4"/>
      <c r="D49" s="15"/>
      <c r="K49" s="30" t="s">
        <v>114</v>
      </c>
      <c r="L49" s="31">
        <f xml:space="preserve"> L31+1.5*((L40+L33)*25.4/1000)</f>
        <v>0.72358216699037581</v>
      </c>
    </row>
    <row r="50" spans="3:12" x14ac:dyDescent="0.3">
      <c r="C50" s="4" t="s">
        <v>68</v>
      </c>
      <c r="D50" s="15">
        <v>325</v>
      </c>
      <c r="L50" s="31"/>
    </row>
    <row r="51" spans="3:12" x14ac:dyDescent="0.3">
      <c r="C51" s="4" t="s">
        <v>69</v>
      </c>
      <c r="D51" s="15">
        <v>400</v>
      </c>
      <c r="L51" s="31"/>
    </row>
    <row r="52" spans="3:12" x14ac:dyDescent="0.3">
      <c r="C52" s="4" t="s">
        <v>70</v>
      </c>
      <c r="D52" s="15">
        <v>675</v>
      </c>
    </row>
    <row r="53" spans="3:12" x14ac:dyDescent="0.3">
      <c r="C53" s="4" t="s">
        <v>71</v>
      </c>
      <c r="D53" s="15">
        <v>400</v>
      </c>
    </row>
    <row r="54" spans="3:12" x14ac:dyDescent="0.3">
      <c r="C54" s="4" t="s">
        <v>72</v>
      </c>
      <c r="D54" s="15">
        <v>325</v>
      </c>
    </row>
    <row r="55" spans="3:12" x14ac:dyDescent="0.3">
      <c r="C55" s="4" t="s">
        <v>75</v>
      </c>
      <c r="D55" s="15"/>
    </row>
    <row r="56" spans="3:12" x14ac:dyDescent="0.3">
      <c r="C56" s="4" t="s">
        <v>76</v>
      </c>
      <c r="D56" s="15">
        <f xml:space="preserve"> 875 +D42</f>
        <v>875</v>
      </c>
    </row>
    <row r="57" spans="3:12" x14ac:dyDescent="0.3">
      <c r="C57" s="4" t="s">
        <v>78</v>
      </c>
      <c r="D57" s="15"/>
    </row>
  </sheetData>
  <pageMargins left="0.7" right="0.7" top="0.75" bottom="0.75" header="0.3" footer="0.3"/>
  <pageSetup orientation="landscape" r:id="rId1"/>
  <tableParts count="5">
    <tablePart r:id="rId2"/>
    <tablePart r:id="rId3"/>
    <tablePart r:id="rId4"/>
    <tablePart r:id="rId5"/>
    <tablePart r:id="rId6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63EE1-FE3F-411E-98D6-39D71940BA41}">
  <dimension ref="C2:M57"/>
  <sheetViews>
    <sheetView workbookViewId="0">
      <selection activeCell="G4" sqref="G4:H26"/>
    </sheetView>
  </sheetViews>
  <sheetFormatPr defaultRowHeight="14.4" x14ac:dyDescent="0.3"/>
  <cols>
    <col min="3" max="3" width="25" customWidth="1"/>
    <col min="4" max="4" width="22.5546875" customWidth="1"/>
    <col min="5" max="5" width="18.44140625" customWidth="1"/>
    <col min="11" max="11" width="13.88671875" customWidth="1"/>
    <col min="12" max="12" width="13" customWidth="1"/>
    <col min="13" max="13" width="11" customWidth="1"/>
  </cols>
  <sheetData>
    <row r="2" spans="3:13" ht="15" thickBot="1" x14ac:dyDescent="0.35"/>
    <row r="3" spans="3:13" ht="15.6" thickTop="1" thickBot="1" x14ac:dyDescent="0.35">
      <c r="C3" s="8"/>
      <c r="D3" s="9" t="s">
        <v>3</v>
      </c>
      <c r="E3" s="8"/>
      <c r="L3" s="26" t="s">
        <v>109</v>
      </c>
    </row>
    <row r="4" spans="3:13" ht="15" thickTop="1" x14ac:dyDescent="0.3">
      <c r="C4" s="4" t="s">
        <v>2</v>
      </c>
      <c r="D4" s="6" t="s">
        <v>0</v>
      </c>
      <c r="E4" s="7" t="s">
        <v>1</v>
      </c>
      <c r="G4" t="s">
        <v>161</v>
      </c>
      <c r="H4" t="e">
        <f>E5/E6/3600</f>
        <v>#DIV/0!</v>
      </c>
      <c r="K4" s="4" t="s">
        <v>2</v>
      </c>
      <c r="L4" s="19" t="s">
        <v>23</v>
      </c>
    </row>
    <row r="5" spans="3:13" x14ac:dyDescent="0.3">
      <c r="C5" s="4" t="s">
        <v>16</v>
      </c>
      <c r="D5" s="1">
        <v>440751</v>
      </c>
      <c r="E5" s="2">
        <v>0</v>
      </c>
      <c r="G5" t="s">
        <v>162</v>
      </c>
      <c r="H5">
        <f>Table181417202632558[[#This Row],[INLET]]/D6/60</f>
        <v>10.331715893108299</v>
      </c>
      <c r="K5" s="4" t="s">
        <v>110</v>
      </c>
      <c r="L5" s="19">
        <f t="shared" ref="L5" si="0" xml:space="preserve"> (E9+1) * 14.5</f>
        <v>72.5</v>
      </c>
    </row>
    <row r="6" spans="3:13" x14ac:dyDescent="0.3">
      <c r="C6" s="4" t="s">
        <v>22</v>
      </c>
      <c r="D6" s="1">
        <v>711</v>
      </c>
      <c r="E6" s="2">
        <v>0</v>
      </c>
      <c r="G6" t="s">
        <v>163</v>
      </c>
      <c r="H6" t="e">
        <f>0.1*SQRT((Table181417202632558[[#This Row],[INLET]]-E6)/E6)</f>
        <v>#DIV/0!</v>
      </c>
      <c r="K6" s="4" t="s">
        <v>87</v>
      </c>
      <c r="L6" s="19">
        <f>IF(L5&lt;15,(0.1821+0.0029*L5+0.046*LN(L5)),IF(L5&lt;=40,0.35,(0.43-0.023*LN(L5))))*0.3048</f>
        <v>0.10103434476673225</v>
      </c>
      <c r="M6" s="27" t="s">
        <v>111</v>
      </c>
    </row>
    <row r="7" spans="3:13" x14ac:dyDescent="0.3">
      <c r="C7" s="4" t="s">
        <v>17</v>
      </c>
      <c r="D7" s="1"/>
      <c r="E7" s="2">
        <v>29.9</v>
      </c>
      <c r="G7" t="s">
        <v>132</v>
      </c>
      <c r="H7" t="e">
        <f>0.75*H6</f>
        <v>#DIV/0!</v>
      </c>
      <c r="K7" s="4" t="s">
        <v>87</v>
      </c>
      <c r="L7" s="19">
        <f>(0.35-0.01*((L5-100)/100))*0.3048</f>
        <v>0.10751819999999999</v>
      </c>
      <c r="M7" s="29" t="s">
        <v>108</v>
      </c>
    </row>
    <row r="8" spans="3:13" x14ac:dyDescent="0.3">
      <c r="C8" s="4" t="s">
        <v>18</v>
      </c>
      <c r="D8" s="1">
        <v>47</v>
      </c>
      <c r="E8" s="2">
        <v>47</v>
      </c>
      <c r="G8" t="s">
        <v>164</v>
      </c>
      <c r="H8">
        <f>5*H5</f>
        <v>51.658579465541493</v>
      </c>
      <c r="K8" s="4" t="s">
        <v>75</v>
      </c>
      <c r="L8" s="19" t="e">
        <f>L6*((D6-E6)/E6)^0.5</f>
        <v>#DIV/0!</v>
      </c>
    </row>
    <row r="9" spans="3:13" x14ac:dyDescent="0.3">
      <c r="C9" s="4" t="s">
        <v>19</v>
      </c>
      <c r="D9" s="1">
        <v>4</v>
      </c>
      <c r="E9" s="2">
        <v>4</v>
      </c>
      <c r="G9" t="s">
        <v>165</v>
      </c>
      <c r="H9">
        <v>0</v>
      </c>
      <c r="K9" s="4" t="s">
        <v>82</v>
      </c>
      <c r="L9" s="19" t="e">
        <f>L8*0.75</f>
        <v>#DIV/0!</v>
      </c>
    </row>
    <row r="10" spans="3:13" x14ac:dyDescent="0.3">
      <c r="C10" s="4" t="s">
        <v>20</v>
      </c>
      <c r="D10" s="1">
        <v>100</v>
      </c>
      <c r="E10" s="2">
        <v>100</v>
      </c>
      <c r="G10" t="s">
        <v>64</v>
      </c>
      <c r="H10">
        <v>3</v>
      </c>
      <c r="K10" s="4" t="s">
        <v>112</v>
      </c>
      <c r="L10" s="19">
        <v>2.2000000000000002</v>
      </c>
    </row>
    <row r="11" spans="3:13" x14ac:dyDescent="0.3">
      <c r="C11" s="4" t="s">
        <v>21</v>
      </c>
      <c r="D11" s="1">
        <v>7</v>
      </c>
      <c r="E11" s="2">
        <v>7</v>
      </c>
      <c r="G11" t="s">
        <v>166</v>
      </c>
      <c r="H11">
        <f>(4*(H8+H9)/(3.14*0.6*H10))^(1/3)</f>
        <v>3.3189453338763895</v>
      </c>
      <c r="K11" s="4" t="s">
        <v>113</v>
      </c>
      <c r="L11" s="19">
        <v>3</v>
      </c>
      <c r="M11" s="28" t="s">
        <v>115</v>
      </c>
    </row>
    <row r="12" spans="3:13" x14ac:dyDescent="0.3">
      <c r="C12" s="4"/>
      <c r="D12" s="1"/>
      <c r="E12" s="2"/>
      <c r="G12" t="s">
        <v>167</v>
      </c>
      <c r="H12">
        <f>3.14*H11*H11/4</f>
        <v>8.6470875314689888</v>
      </c>
      <c r="K12" s="4" t="s">
        <v>114</v>
      </c>
      <c r="L12" s="19">
        <f>L10*L11</f>
        <v>6.6000000000000005</v>
      </c>
    </row>
    <row r="13" spans="3:13" x14ac:dyDescent="0.3">
      <c r="C13" s="4"/>
      <c r="D13" s="1"/>
      <c r="E13" s="2"/>
      <c r="G13" t="s">
        <v>168</v>
      </c>
      <c r="H13">
        <v>1.425</v>
      </c>
      <c r="K13" s="4" t="s">
        <v>116</v>
      </c>
      <c r="L13" s="19">
        <f>PI()/4*L10^2</f>
        <v>3.8013271108436504</v>
      </c>
    </row>
    <row r="14" spans="3:13" x14ac:dyDescent="0.3">
      <c r="C14" s="4"/>
      <c r="D14" s="1"/>
      <c r="E14" s="2"/>
      <c r="G14" t="s">
        <v>169</v>
      </c>
      <c r="H14">
        <f>H13/H11</f>
        <v>0.42935326034299565</v>
      </c>
      <c r="K14" s="4" t="s">
        <v>117</v>
      </c>
      <c r="L14" s="19">
        <v>0.32500000000000001</v>
      </c>
    </row>
    <row r="15" spans="3:13" x14ac:dyDescent="0.3">
      <c r="C15" s="4"/>
      <c r="D15" s="1"/>
      <c r="E15" s="2"/>
      <c r="G15" s="36" t="s">
        <v>120</v>
      </c>
      <c r="H15">
        <f>2*ACOS(1-2*H14)</f>
        <v>2.8580568923974039</v>
      </c>
      <c r="K15" s="4" t="s">
        <v>118</v>
      </c>
      <c r="L15" s="19">
        <v>0.4</v>
      </c>
    </row>
    <row r="16" spans="3:13" x14ac:dyDescent="0.3">
      <c r="C16" s="4"/>
      <c r="D16" s="1"/>
      <c r="E16" s="2"/>
      <c r="G16" t="s">
        <v>170</v>
      </c>
      <c r="H16">
        <f>(H15-SIN(H15))/2/PI()</f>
        <v>0.41034997215312435</v>
      </c>
      <c r="K16" s="4" t="s">
        <v>119</v>
      </c>
      <c r="L16" s="19">
        <f>(L14+L15)/L10</f>
        <v>0.32954545454545459</v>
      </c>
    </row>
    <row r="17" spans="3:12" x14ac:dyDescent="0.3">
      <c r="C17" s="4"/>
      <c r="D17" s="1"/>
      <c r="E17" s="2"/>
      <c r="G17" t="s">
        <v>171</v>
      </c>
      <c r="H17">
        <f>H16*H12</f>
        <v>3.5483321277439281</v>
      </c>
      <c r="K17" s="4" t="s">
        <v>120</v>
      </c>
      <c r="L17" s="19">
        <f>2*ACOS(1-2*L16)</f>
        <v>2.4458251593138853</v>
      </c>
    </row>
    <row r="18" spans="3:12" ht="15" thickBot="1" x14ac:dyDescent="0.35">
      <c r="G18" t="s">
        <v>129</v>
      </c>
      <c r="H18">
        <v>0.05</v>
      </c>
      <c r="K18" s="4" t="s">
        <v>121</v>
      </c>
      <c r="L18" s="19">
        <f>(L17-SIN(L17))/2/PI()</f>
        <v>0.28725086773539088</v>
      </c>
    </row>
    <row r="19" spans="3:12" ht="15" thickTop="1" x14ac:dyDescent="0.3">
      <c r="D19" s="10" t="s">
        <v>4</v>
      </c>
      <c r="G19" t="s">
        <v>172</v>
      </c>
      <c r="H19">
        <f>H18/H11</f>
        <v>1.5065026678701602E-2</v>
      </c>
      <c r="K19" s="4" t="s">
        <v>122</v>
      </c>
      <c r="L19" s="19">
        <f>(D5*(1+0)/D6/60)*(3/L12)</f>
        <v>4.696234496867409</v>
      </c>
    </row>
    <row r="20" spans="3:12" x14ac:dyDescent="0.3">
      <c r="C20" s="4" t="s">
        <v>2</v>
      </c>
      <c r="D20" s="1" t="s">
        <v>9</v>
      </c>
      <c r="G20" s="36" t="s">
        <v>120</v>
      </c>
      <c r="H20">
        <f>2*ACOS(1-2*H19)</f>
        <v>0.49219983165448244</v>
      </c>
      <c r="K20" s="4" t="s">
        <v>123</v>
      </c>
      <c r="L20" s="19">
        <f>L18*L13</f>
        <v>1.0919345111359049</v>
      </c>
    </row>
    <row r="21" spans="3:12" x14ac:dyDescent="0.3">
      <c r="C21" s="4" t="s">
        <v>24</v>
      </c>
      <c r="D21" s="1">
        <v>2125</v>
      </c>
      <c r="G21" t="s">
        <v>173</v>
      </c>
      <c r="H21">
        <f>(H20-SIN(H20))/2/PI()</f>
        <v>3.1248640739771436E-3</v>
      </c>
      <c r="K21" s="4" t="s">
        <v>124</v>
      </c>
      <c r="L21" s="19">
        <f>L19+L20</f>
        <v>5.7881690080033135</v>
      </c>
    </row>
    <row r="22" spans="3:12" x14ac:dyDescent="0.3">
      <c r="C22" s="4" t="s">
        <v>5</v>
      </c>
      <c r="D22" s="1">
        <v>6450</v>
      </c>
      <c r="G22" t="s">
        <v>131</v>
      </c>
      <c r="H22">
        <f>H21*H12</f>
        <v>2.7020973171623146E-2</v>
      </c>
      <c r="K22" s="4" t="s">
        <v>125</v>
      </c>
      <c r="L22" s="19">
        <f>L21/L13</f>
        <v>1.522670593512462</v>
      </c>
    </row>
    <row r="23" spans="3:12" x14ac:dyDescent="0.3">
      <c r="C23" s="4" t="s">
        <v>6</v>
      </c>
      <c r="D23" s="1" t="s">
        <v>25</v>
      </c>
      <c r="G23" t="s">
        <v>114</v>
      </c>
      <c r="H23">
        <f>(H8+H9)/(H12-H22-H17)</f>
        <v>10.185584472707577</v>
      </c>
      <c r="K23" s="4" t="s">
        <v>126</v>
      </c>
      <c r="L23" s="19">
        <v>0.84350000000000003</v>
      </c>
    </row>
    <row r="24" spans="3:12" x14ac:dyDescent="0.3">
      <c r="C24" s="4" t="s">
        <v>7</v>
      </c>
      <c r="D24" s="1" t="s">
        <v>26</v>
      </c>
      <c r="G24" t="s">
        <v>130</v>
      </c>
      <c r="H24" t="e">
        <f>H18/H7</f>
        <v>#DIV/0!</v>
      </c>
      <c r="K24" s="4" t="s">
        <v>120</v>
      </c>
      <c r="L24" s="19">
        <f>2*ACOS(1-2*L23)</f>
        <v>4.6562975721157738</v>
      </c>
    </row>
    <row r="25" spans="3:12" x14ac:dyDescent="0.3">
      <c r="C25" s="4" t="s">
        <v>8</v>
      </c>
      <c r="D25" s="1" t="s">
        <v>26</v>
      </c>
      <c r="G25" t="s">
        <v>174</v>
      </c>
      <c r="H25" t="e">
        <f>H4/H18</f>
        <v>#DIV/0!</v>
      </c>
      <c r="K25" s="4" t="s">
        <v>127</v>
      </c>
      <c r="L25" s="19">
        <f>(L24-SIN(L24))/2/PI()-L22</f>
        <v>-0.62269317998258511</v>
      </c>
    </row>
    <row r="26" spans="3:12" x14ac:dyDescent="0.3">
      <c r="C26" s="4" t="s">
        <v>10</v>
      </c>
      <c r="D26" s="1">
        <v>325</v>
      </c>
      <c r="G26" t="s">
        <v>133</v>
      </c>
      <c r="H26" t="e">
        <f>H24*H25</f>
        <v>#DIV/0!</v>
      </c>
      <c r="K26" s="4" t="s">
        <v>128</v>
      </c>
      <c r="L26" s="19">
        <f>L23*L10</f>
        <v>1.8557000000000001</v>
      </c>
    </row>
    <row r="27" spans="3:12" x14ac:dyDescent="0.3">
      <c r="C27" s="4" t="s">
        <v>11</v>
      </c>
      <c r="D27" s="1">
        <v>725</v>
      </c>
      <c r="K27" s="4" t="s">
        <v>129</v>
      </c>
      <c r="L27" s="21">
        <f>L10-L26</f>
        <v>0.34430000000000005</v>
      </c>
    </row>
    <row r="28" spans="3:12" x14ac:dyDescent="0.3">
      <c r="C28" s="4" t="s">
        <v>12</v>
      </c>
      <c r="D28" s="1">
        <v>1400</v>
      </c>
      <c r="K28" s="4" t="s">
        <v>130</v>
      </c>
      <c r="L28" s="21" t="e">
        <f>L27/L9</f>
        <v>#DIV/0!</v>
      </c>
    </row>
    <row r="29" spans="3:12" x14ac:dyDescent="0.3">
      <c r="C29" s="4" t="s">
        <v>13</v>
      </c>
      <c r="D29" s="1">
        <v>1800</v>
      </c>
      <c r="K29" s="4" t="s">
        <v>131</v>
      </c>
      <c r="L29" s="21">
        <f>L13-L21</f>
        <v>-1.9868418971596631</v>
      </c>
    </row>
    <row r="30" spans="3:12" x14ac:dyDescent="0.3">
      <c r="C30" s="4" t="s">
        <v>14</v>
      </c>
      <c r="D30" s="1"/>
      <c r="K30" s="4" t="s">
        <v>132</v>
      </c>
      <c r="L30" s="21" t="e">
        <f>E5/E6/3600/L29</f>
        <v>#DIV/0!</v>
      </c>
    </row>
    <row r="31" spans="3:12" x14ac:dyDescent="0.3">
      <c r="C31" s="4" t="s">
        <v>15</v>
      </c>
      <c r="D31" s="1" t="s">
        <v>28</v>
      </c>
      <c r="K31" s="4" t="s">
        <v>133</v>
      </c>
      <c r="L31" s="21" t="e">
        <f>L30*L28</f>
        <v>#DIV/0!</v>
      </c>
    </row>
    <row r="32" spans="3:12" x14ac:dyDescent="0.3">
      <c r="C32" s="4" t="s">
        <v>29</v>
      </c>
      <c r="D32" s="1"/>
      <c r="K32" s="1" t="s">
        <v>88</v>
      </c>
      <c r="L32" s="1" t="s">
        <v>3</v>
      </c>
    </row>
    <row r="33" spans="3:13" x14ac:dyDescent="0.3">
      <c r="C33" s="4" t="s">
        <v>6</v>
      </c>
      <c r="D33" s="1"/>
      <c r="H33">
        <f>H23/H11</f>
        <v>3.0689220363901684</v>
      </c>
      <c r="K33" s="30" t="s">
        <v>84</v>
      </c>
      <c r="L33" s="31">
        <v>12</v>
      </c>
    </row>
    <row r="34" spans="3:13" x14ac:dyDescent="0.3">
      <c r="C34" s="4" t="s">
        <v>35</v>
      </c>
      <c r="D34" s="1"/>
      <c r="H34">
        <f>H11*3</f>
        <v>9.9568360016291688</v>
      </c>
      <c r="K34" s="30" t="s">
        <v>90</v>
      </c>
      <c r="L34" s="31">
        <f>((PI()/4)*(L33*25.4/1000)^2)</f>
        <v>7.296587699003966E-2</v>
      </c>
    </row>
    <row r="35" spans="3:13" x14ac:dyDescent="0.3">
      <c r="C35" s="4" t="s">
        <v>31</v>
      </c>
      <c r="D35" s="1"/>
      <c r="K35" s="30" t="s">
        <v>134</v>
      </c>
      <c r="L35" s="31">
        <f>D6</f>
        <v>711</v>
      </c>
    </row>
    <row r="36" spans="3:13" x14ac:dyDescent="0.3">
      <c r="C36" s="4" t="s">
        <v>32</v>
      </c>
      <c r="D36" s="1"/>
      <c r="K36" s="30" t="s">
        <v>92</v>
      </c>
      <c r="L36" s="31">
        <f>(D5+E5)/L35/3600/L34</f>
        <v>2.3599423729073266</v>
      </c>
    </row>
    <row r="37" spans="3:13" x14ac:dyDescent="0.3">
      <c r="C37" s="4" t="s">
        <v>33</v>
      </c>
      <c r="D37" s="1"/>
      <c r="K37" s="30" t="s">
        <v>135</v>
      </c>
      <c r="L37" s="31">
        <f>L35*L36*L36</f>
        <v>3959.7922104483023</v>
      </c>
      <c r="M37" s="27">
        <v>6000</v>
      </c>
    </row>
    <row r="38" spans="3:13" x14ac:dyDescent="0.3">
      <c r="C38" s="4" t="s">
        <v>43</v>
      </c>
      <c r="D38" s="1" t="s">
        <v>44</v>
      </c>
      <c r="K38" s="30" t="s">
        <v>136</v>
      </c>
      <c r="L38" s="31" t="e">
        <f>E6*((E5/E6/3600/L34)^2)</f>
        <v>#DIV/0!</v>
      </c>
      <c r="M38" s="27">
        <v>3750</v>
      </c>
    </row>
    <row r="39" spans="3:13" x14ac:dyDescent="0.3">
      <c r="C39" s="4" t="s">
        <v>3</v>
      </c>
      <c r="D39" s="1">
        <v>18</v>
      </c>
      <c r="K39" s="17" t="s">
        <v>88</v>
      </c>
      <c r="L39" s="1" t="s">
        <v>137</v>
      </c>
    </row>
    <row r="40" spans="3:13" x14ac:dyDescent="0.3">
      <c r="C40" s="25" t="s">
        <v>139</v>
      </c>
      <c r="D40" s="1">
        <v>8</v>
      </c>
      <c r="K40" s="30" t="s">
        <v>84</v>
      </c>
      <c r="L40" s="31">
        <v>6</v>
      </c>
    </row>
    <row r="41" spans="3:13" x14ac:dyDescent="0.3">
      <c r="C41" s="25" t="s">
        <v>140</v>
      </c>
      <c r="D41" s="1">
        <v>14</v>
      </c>
      <c r="K41" s="30" t="s">
        <v>90</v>
      </c>
      <c r="L41" s="31">
        <f>(PI()/4)*((L40*25.4/1000)^2)</f>
        <v>1.8241469247509915E-2</v>
      </c>
    </row>
    <row r="42" spans="3:13" x14ac:dyDescent="0.3">
      <c r="C42" s="3"/>
      <c r="D42" s="1"/>
      <c r="K42" s="30" t="s">
        <v>92</v>
      </c>
      <c r="L42" s="31" t="e">
        <f>E5/E6/3600/L41</f>
        <v>#DIV/0!</v>
      </c>
    </row>
    <row r="43" spans="3:13" x14ac:dyDescent="0.3">
      <c r="C43" s="3"/>
      <c r="D43" s="1"/>
      <c r="K43" s="30" t="s">
        <v>136</v>
      </c>
      <c r="L43" s="31" t="e">
        <f>E6*L42^2</f>
        <v>#DIV/0!</v>
      </c>
      <c r="M43" s="27">
        <v>3750</v>
      </c>
    </row>
    <row r="44" spans="3:13" x14ac:dyDescent="0.3">
      <c r="C44" s="3"/>
      <c r="D44" s="1"/>
      <c r="K44" s="17" t="s">
        <v>88</v>
      </c>
      <c r="L44" s="1" t="s">
        <v>0</v>
      </c>
    </row>
    <row r="45" spans="3:13" x14ac:dyDescent="0.3">
      <c r="C45" s="4"/>
      <c r="D45" s="16" t="s">
        <v>73</v>
      </c>
      <c r="K45" s="30" t="s">
        <v>84</v>
      </c>
      <c r="L45" s="31">
        <v>24</v>
      </c>
    </row>
    <row r="46" spans="3:13" x14ac:dyDescent="0.3">
      <c r="C46" s="4" t="s">
        <v>64</v>
      </c>
      <c r="D46" s="15">
        <f>D22/D21</f>
        <v>3.0352941176470587</v>
      </c>
      <c r="K46" s="30" t="s">
        <v>90</v>
      </c>
      <c r="L46" s="31">
        <f>(PI()/4)*((L45*25.4/1000)^2)</f>
        <v>0.29186350796015864</v>
      </c>
    </row>
    <row r="47" spans="3:13" x14ac:dyDescent="0.3">
      <c r="C47" s="4" t="s">
        <v>141</v>
      </c>
      <c r="D47" s="15">
        <v>0</v>
      </c>
      <c r="K47" s="30" t="s">
        <v>138</v>
      </c>
      <c r="L47" s="31">
        <f>D5/D6/3600/L46</f>
        <v>0.58998559322683164</v>
      </c>
      <c r="M47" s="27">
        <v>1</v>
      </c>
    </row>
    <row r="48" spans="3:13" x14ac:dyDescent="0.3">
      <c r="C48" s="4"/>
      <c r="D48" s="15"/>
      <c r="K48" s="17"/>
      <c r="L48" s="1"/>
    </row>
    <row r="49" spans="3:12" x14ac:dyDescent="0.3">
      <c r="C49" s="4"/>
      <c r="D49" s="15"/>
      <c r="K49" s="30" t="s">
        <v>114</v>
      </c>
      <c r="L49" s="31" t="e">
        <f xml:space="preserve"> L31+1.5*((L40+L33)*25.4/1000)</f>
        <v>#DIV/0!</v>
      </c>
    </row>
    <row r="50" spans="3:12" x14ac:dyDescent="0.3">
      <c r="C50" s="4" t="s">
        <v>68</v>
      </c>
      <c r="D50" s="15">
        <v>325</v>
      </c>
      <c r="L50" s="31"/>
    </row>
    <row r="51" spans="3:12" x14ac:dyDescent="0.3">
      <c r="C51" s="4" t="s">
        <v>69</v>
      </c>
      <c r="D51" s="15">
        <v>400</v>
      </c>
      <c r="L51" s="31"/>
    </row>
    <row r="52" spans="3:12" x14ac:dyDescent="0.3">
      <c r="C52" s="4" t="s">
        <v>70</v>
      </c>
      <c r="D52" s="15">
        <v>675</v>
      </c>
    </row>
    <row r="53" spans="3:12" x14ac:dyDescent="0.3">
      <c r="C53" s="4" t="s">
        <v>71</v>
      </c>
      <c r="D53" s="15">
        <v>400</v>
      </c>
    </row>
    <row r="54" spans="3:12" x14ac:dyDescent="0.3">
      <c r="C54" s="4" t="s">
        <v>72</v>
      </c>
      <c r="D54" s="15">
        <v>325</v>
      </c>
    </row>
    <row r="55" spans="3:12" x14ac:dyDescent="0.3">
      <c r="C55" s="4" t="s">
        <v>75</v>
      </c>
      <c r="D55" s="15"/>
    </row>
    <row r="56" spans="3:12" x14ac:dyDescent="0.3">
      <c r="C56" s="4" t="s">
        <v>76</v>
      </c>
      <c r="D56" s="15">
        <f xml:space="preserve"> 875 +D42</f>
        <v>875</v>
      </c>
    </row>
    <row r="57" spans="3:12" x14ac:dyDescent="0.3">
      <c r="C57" s="4" t="s">
        <v>78</v>
      </c>
      <c r="D57" s="15"/>
    </row>
  </sheetData>
  <pageMargins left="0.7" right="0.7" top="0.75" bottom="0.75" header="0.3" footer="0.3"/>
  <pageSetup orientation="landscape" r:id="rId1"/>
  <tableParts count="5">
    <tablePart r:id="rId2"/>
    <tablePart r:id="rId3"/>
    <tablePart r:id="rId4"/>
    <tablePart r:id="rId5"/>
    <tablePart r:id="rId6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65795-3722-4650-8E58-34A3A9D0835D}">
  <dimension ref="C2:M57"/>
  <sheetViews>
    <sheetView workbookViewId="0">
      <selection activeCell="H19" sqref="H19"/>
    </sheetView>
  </sheetViews>
  <sheetFormatPr defaultRowHeight="14.4" x14ac:dyDescent="0.3"/>
  <cols>
    <col min="3" max="3" width="25" customWidth="1"/>
    <col min="4" max="4" width="22.5546875" customWidth="1"/>
    <col min="5" max="5" width="18.44140625" customWidth="1"/>
    <col min="11" max="11" width="13.88671875" customWidth="1"/>
    <col min="12" max="12" width="13" customWidth="1"/>
    <col min="13" max="13" width="11" customWidth="1"/>
  </cols>
  <sheetData>
    <row r="2" spans="3:13" ht="15" thickBot="1" x14ac:dyDescent="0.35"/>
    <row r="3" spans="3:13" ht="15.6" thickTop="1" thickBot="1" x14ac:dyDescent="0.35">
      <c r="C3" s="8"/>
      <c r="D3" s="9" t="s">
        <v>3</v>
      </c>
      <c r="E3" s="8"/>
      <c r="L3" s="26" t="s">
        <v>109</v>
      </c>
    </row>
    <row r="4" spans="3:13" ht="15" thickTop="1" x14ac:dyDescent="0.3">
      <c r="C4" s="4" t="s">
        <v>2</v>
      </c>
      <c r="D4" s="6" t="s">
        <v>0</v>
      </c>
      <c r="E4" s="7" t="s">
        <v>1</v>
      </c>
      <c r="G4" t="s">
        <v>161</v>
      </c>
      <c r="H4" t="e">
        <f>E5/E6/3600</f>
        <v>#DIV/0!</v>
      </c>
      <c r="K4" s="4" t="s">
        <v>2</v>
      </c>
      <c r="L4" s="19" t="s">
        <v>23</v>
      </c>
    </row>
    <row r="5" spans="3:13" x14ac:dyDescent="0.3">
      <c r="C5" s="4" t="s">
        <v>16</v>
      </c>
      <c r="D5" s="1">
        <v>418559</v>
      </c>
      <c r="E5" s="2">
        <v>0</v>
      </c>
      <c r="G5" t="s">
        <v>162</v>
      </c>
      <c r="H5">
        <f>Table18141720263255863[[#This Row],[INLET]]/D6/60</f>
        <v>9.3013111111111115</v>
      </c>
      <c r="K5" s="4" t="s">
        <v>110</v>
      </c>
      <c r="L5" s="19">
        <f t="shared" ref="L5" si="0" xml:space="preserve"> (E9+1) * 14.5</f>
        <v>72.5</v>
      </c>
    </row>
    <row r="6" spans="3:13" x14ac:dyDescent="0.3">
      <c r="C6" s="4" t="s">
        <v>22</v>
      </c>
      <c r="D6" s="1">
        <v>750</v>
      </c>
      <c r="E6" s="2">
        <v>0</v>
      </c>
      <c r="G6" t="s">
        <v>163</v>
      </c>
      <c r="H6" t="e">
        <f>0.1*SQRT((Table18141720263255863[[#This Row],[INLET]]-E6)/E6)</f>
        <v>#DIV/0!</v>
      </c>
      <c r="K6" s="4" t="s">
        <v>87</v>
      </c>
      <c r="L6" s="19">
        <f>IF(L5&lt;15,(0.1821+0.0029*L5+0.046*LN(L5)),IF(L5&lt;=40,0.35,(0.43-0.023*LN(L5))))*0.3048</f>
        <v>0.10103434476673225</v>
      </c>
      <c r="M6" s="27" t="s">
        <v>111</v>
      </c>
    </row>
    <row r="7" spans="3:13" x14ac:dyDescent="0.3">
      <c r="C7" s="4" t="s">
        <v>17</v>
      </c>
      <c r="D7" s="1"/>
      <c r="E7" s="2">
        <v>29.9</v>
      </c>
      <c r="G7" t="s">
        <v>132</v>
      </c>
      <c r="H7" t="e">
        <f>0.75*H6</f>
        <v>#DIV/0!</v>
      </c>
      <c r="K7" s="4" t="s">
        <v>87</v>
      </c>
      <c r="L7" s="19">
        <f>(0.35-0.01*((L5-100)/100))*0.3048</f>
        <v>0.10751819999999999</v>
      </c>
      <c r="M7" s="29" t="s">
        <v>108</v>
      </c>
    </row>
    <row r="8" spans="3:13" x14ac:dyDescent="0.3">
      <c r="C8" s="4" t="s">
        <v>18</v>
      </c>
      <c r="D8" s="1">
        <v>47</v>
      </c>
      <c r="E8" s="2">
        <v>47</v>
      </c>
      <c r="G8" t="s">
        <v>164</v>
      </c>
      <c r="H8">
        <f>5*H5</f>
        <v>46.506555555555558</v>
      </c>
      <c r="K8" s="4" t="s">
        <v>75</v>
      </c>
      <c r="L8" s="19" t="e">
        <f>L6*((D6-E6)/E6)^0.5</f>
        <v>#DIV/0!</v>
      </c>
    </row>
    <row r="9" spans="3:13" x14ac:dyDescent="0.3">
      <c r="C9" s="4" t="s">
        <v>19</v>
      </c>
      <c r="D9" s="1">
        <v>4</v>
      </c>
      <c r="E9" s="2">
        <v>4</v>
      </c>
      <c r="G9" t="s">
        <v>165</v>
      </c>
      <c r="H9">
        <v>0</v>
      </c>
      <c r="K9" s="4" t="s">
        <v>82</v>
      </c>
      <c r="L9" s="19" t="e">
        <f>L8*0.75</f>
        <v>#DIV/0!</v>
      </c>
    </row>
    <row r="10" spans="3:13" x14ac:dyDescent="0.3">
      <c r="C10" s="4" t="s">
        <v>20</v>
      </c>
      <c r="D10" s="1">
        <v>100</v>
      </c>
      <c r="E10" s="2">
        <v>100</v>
      </c>
      <c r="G10" t="s">
        <v>64</v>
      </c>
      <c r="H10">
        <v>3</v>
      </c>
      <c r="K10" s="4" t="s">
        <v>112</v>
      </c>
      <c r="L10" s="19">
        <v>2.2000000000000002</v>
      </c>
    </row>
    <row r="11" spans="3:13" x14ac:dyDescent="0.3">
      <c r="C11" s="4" t="s">
        <v>21</v>
      </c>
      <c r="D11" s="1">
        <v>7</v>
      </c>
      <c r="E11" s="2">
        <v>7</v>
      </c>
      <c r="G11" t="s">
        <v>166</v>
      </c>
      <c r="H11">
        <f>(4*(H8+H9)/(3.14*0.6*H10))^(1/3)</f>
        <v>3.2047242830668536</v>
      </c>
      <c r="K11" s="4" t="s">
        <v>113</v>
      </c>
      <c r="L11" s="19">
        <v>3</v>
      </c>
      <c r="M11" s="28" t="s">
        <v>115</v>
      </c>
    </row>
    <row r="12" spans="3:13" x14ac:dyDescent="0.3">
      <c r="C12" s="4"/>
      <c r="D12" s="1"/>
      <c r="E12" s="2"/>
      <c r="G12" t="s">
        <v>167</v>
      </c>
      <c r="H12">
        <f>3.14*H11*H11/4</f>
        <v>8.0621523184255128</v>
      </c>
      <c r="K12" s="4" t="s">
        <v>114</v>
      </c>
      <c r="L12" s="19">
        <f>L10*L11</f>
        <v>6.6000000000000005</v>
      </c>
    </row>
    <row r="13" spans="3:13" x14ac:dyDescent="0.3">
      <c r="C13" s="4"/>
      <c r="D13" s="1"/>
      <c r="E13" s="2"/>
      <c r="G13" t="s">
        <v>168</v>
      </c>
      <c r="H13">
        <v>1.375</v>
      </c>
      <c r="K13" s="4" t="s">
        <v>116</v>
      </c>
      <c r="L13" s="19">
        <f>PI()/4*L10^2</f>
        <v>3.8013271108436504</v>
      </c>
    </row>
    <row r="14" spans="3:13" x14ac:dyDescent="0.3">
      <c r="C14" s="4"/>
      <c r="D14" s="1"/>
      <c r="E14" s="2"/>
      <c r="G14" t="s">
        <v>169</v>
      </c>
      <c r="H14">
        <f>H13/H11</f>
        <v>0.4290540709742911</v>
      </c>
      <c r="K14" s="4" t="s">
        <v>117</v>
      </c>
      <c r="L14" s="19">
        <v>0.32500000000000001</v>
      </c>
    </row>
    <row r="15" spans="3:13" x14ac:dyDescent="0.3">
      <c r="C15" s="4"/>
      <c r="D15" s="1"/>
      <c r="E15" s="2"/>
      <c r="G15" s="36" t="s">
        <v>120</v>
      </c>
      <c r="H15">
        <f>2*ACOS(1-2*H14)</f>
        <v>2.8568479548640413</v>
      </c>
      <c r="K15" s="4" t="s">
        <v>118</v>
      </c>
      <c r="L15" s="19">
        <v>0.4</v>
      </c>
    </row>
    <row r="16" spans="3:13" x14ac:dyDescent="0.3">
      <c r="C16" s="4"/>
      <c r="D16" s="1"/>
      <c r="E16" s="2"/>
      <c r="G16" t="s">
        <v>170</v>
      </c>
      <c r="H16">
        <f>(H15-SIN(H15))/2/PI()</f>
        <v>0.40997287038919017</v>
      </c>
      <c r="K16" s="4" t="s">
        <v>119</v>
      </c>
      <c r="L16" s="19">
        <f>(L14+L15)/L10</f>
        <v>0.32954545454545459</v>
      </c>
    </row>
    <row r="17" spans="3:12" x14ac:dyDescent="0.3">
      <c r="C17" s="4"/>
      <c r="D17" s="1"/>
      <c r="E17" s="2"/>
      <c r="G17" t="s">
        <v>171</v>
      </c>
      <c r="H17">
        <f>H16*H12</f>
        <v>3.3052637274997716</v>
      </c>
      <c r="K17" s="4" t="s">
        <v>120</v>
      </c>
      <c r="L17" s="19">
        <f>2*ACOS(1-2*L16)</f>
        <v>2.4458251593138853</v>
      </c>
    </row>
    <row r="18" spans="3:12" ht="15" thickBot="1" x14ac:dyDescent="0.35">
      <c r="G18" t="s">
        <v>129</v>
      </c>
      <c r="H18">
        <v>0.05</v>
      </c>
      <c r="K18" s="4" t="s">
        <v>121</v>
      </c>
      <c r="L18" s="19">
        <f>(L17-SIN(L17))/2/PI()</f>
        <v>0.28725086773539088</v>
      </c>
    </row>
    <row r="19" spans="3:12" ht="15" thickTop="1" x14ac:dyDescent="0.3">
      <c r="D19" s="10" t="s">
        <v>4</v>
      </c>
      <c r="G19" t="s">
        <v>172</v>
      </c>
      <c r="H19">
        <f>H18/H11</f>
        <v>1.560196621724695E-2</v>
      </c>
      <c r="K19" s="4" t="s">
        <v>122</v>
      </c>
      <c r="L19" s="19">
        <f>(D5*(1+0)/D6/60)*(3/L12)</f>
        <v>4.2278686868686872</v>
      </c>
    </row>
    <row r="20" spans="3:12" x14ac:dyDescent="0.3">
      <c r="C20" s="4" t="s">
        <v>2</v>
      </c>
      <c r="D20" s="1" t="s">
        <v>9</v>
      </c>
      <c r="G20" s="36" t="s">
        <v>120</v>
      </c>
      <c r="H20">
        <f>2*ACOS(1-2*H19)</f>
        <v>0.50093973591621843</v>
      </c>
      <c r="K20" s="4" t="s">
        <v>123</v>
      </c>
      <c r="L20" s="19">
        <f>L18*L13</f>
        <v>1.0919345111359049</v>
      </c>
    </row>
    <row r="21" spans="3:12" x14ac:dyDescent="0.3">
      <c r="C21" s="4" t="s">
        <v>24</v>
      </c>
      <c r="D21" s="1">
        <v>2125</v>
      </c>
      <c r="G21" t="s">
        <v>173</v>
      </c>
      <c r="H21">
        <f>(H20-SIN(H20))/2/PI()</f>
        <v>3.292870138350478E-3</v>
      </c>
      <c r="K21" s="4" t="s">
        <v>124</v>
      </c>
      <c r="L21" s="19">
        <f>L19+L20</f>
        <v>5.3198031980045926</v>
      </c>
    </row>
    <row r="22" spans="3:12" x14ac:dyDescent="0.3">
      <c r="C22" s="4" t="s">
        <v>5</v>
      </c>
      <c r="D22" s="1">
        <v>6450</v>
      </c>
      <c r="G22" t="s">
        <v>131</v>
      </c>
      <c r="H22">
        <f>H21*H12</f>
        <v>2.6547620620176446E-2</v>
      </c>
      <c r="K22" s="4" t="s">
        <v>125</v>
      </c>
      <c r="L22" s="19">
        <f>L21/L13</f>
        <v>1.3994594632041382</v>
      </c>
    </row>
    <row r="23" spans="3:12" x14ac:dyDescent="0.3">
      <c r="C23" s="4" t="s">
        <v>6</v>
      </c>
      <c r="D23" s="1" t="s">
        <v>25</v>
      </c>
      <c r="G23" t="s">
        <v>114</v>
      </c>
      <c r="H23">
        <f>(H8+H9)/(H12-H22-H17)</f>
        <v>9.8315440361482835</v>
      </c>
      <c r="K23" s="4" t="s">
        <v>126</v>
      </c>
      <c r="L23" s="19">
        <v>0.84350000000000003</v>
      </c>
    </row>
    <row r="24" spans="3:12" x14ac:dyDescent="0.3">
      <c r="C24" s="4" t="s">
        <v>7</v>
      </c>
      <c r="D24" s="1" t="s">
        <v>26</v>
      </c>
      <c r="G24" t="s">
        <v>130</v>
      </c>
      <c r="H24" t="e">
        <f>H18/H7</f>
        <v>#DIV/0!</v>
      </c>
      <c r="K24" s="4" t="s">
        <v>120</v>
      </c>
      <c r="L24" s="19">
        <f>2*ACOS(1-2*L23)</f>
        <v>4.6562975721157738</v>
      </c>
    </row>
    <row r="25" spans="3:12" x14ac:dyDescent="0.3">
      <c r="C25" s="4" t="s">
        <v>8</v>
      </c>
      <c r="D25" s="1" t="s">
        <v>26</v>
      </c>
      <c r="G25" t="s">
        <v>174</v>
      </c>
      <c r="H25" t="e">
        <f>H4/H18</f>
        <v>#DIV/0!</v>
      </c>
      <c r="K25" s="4" t="s">
        <v>127</v>
      </c>
      <c r="L25" s="19">
        <f>(L24-SIN(L24))/2/PI()-L22</f>
        <v>-0.49948204967426124</v>
      </c>
    </row>
    <row r="26" spans="3:12" x14ac:dyDescent="0.3">
      <c r="C26" s="4" t="s">
        <v>10</v>
      </c>
      <c r="D26" s="1">
        <v>325</v>
      </c>
      <c r="G26" t="s">
        <v>133</v>
      </c>
      <c r="H26" t="e">
        <f>H24*H25</f>
        <v>#DIV/0!</v>
      </c>
      <c r="K26" s="4" t="s">
        <v>128</v>
      </c>
      <c r="L26" s="19">
        <f>L23*L10</f>
        <v>1.8557000000000001</v>
      </c>
    </row>
    <row r="27" spans="3:12" x14ac:dyDescent="0.3">
      <c r="C27" s="4" t="s">
        <v>11</v>
      </c>
      <c r="D27" s="1">
        <v>725</v>
      </c>
      <c r="K27" s="4" t="s">
        <v>129</v>
      </c>
      <c r="L27" s="21">
        <f>L10-L26</f>
        <v>0.34430000000000005</v>
      </c>
    </row>
    <row r="28" spans="3:12" x14ac:dyDescent="0.3">
      <c r="C28" s="4" t="s">
        <v>12</v>
      </c>
      <c r="D28" s="1">
        <v>1400</v>
      </c>
      <c r="K28" s="4" t="s">
        <v>130</v>
      </c>
      <c r="L28" s="21" t="e">
        <f>L27/L9</f>
        <v>#DIV/0!</v>
      </c>
    </row>
    <row r="29" spans="3:12" x14ac:dyDescent="0.3">
      <c r="C29" s="4" t="s">
        <v>13</v>
      </c>
      <c r="D29" s="1">
        <v>1800</v>
      </c>
      <c r="K29" s="4" t="s">
        <v>131</v>
      </c>
      <c r="L29" s="21">
        <f>L13-L21</f>
        <v>-1.5184760871609422</v>
      </c>
    </row>
    <row r="30" spans="3:12" x14ac:dyDescent="0.3">
      <c r="C30" s="4" t="s">
        <v>14</v>
      </c>
      <c r="D30" s="1"/>
      <c r="K30" s="4" t="s">
        <v>132</v>
      </c>
      <c r="L30" s="21" t="e">
        <f>E5/E6/3600/L29</f>
        <v>#DIV/0!</v>
      </c>
    </row>
    <row r="31" spans="3:12" x14ac:dyDescent="0.3">
      <c r="C31" s="4" t="s">
        <v>15</v>
      </c>
      <c r="D31" s="1" t="s">
        <v>28</v>
      </c>
      <c r="K31" s="4" t="s">
        <v>133</v>
      </c>
      <c r="L31" s="21" t="e">
        <f>L30*L28</f>
        <v>#DIV/0!</v>
      </c>
    </row>
    <row r="32" spans="3:12" x14ac:dyDescent="0.3">
      <c r="C32" s="4" t="s">
        <v>29</v>
      </c>
      <c r="D32" s="1"/>
      <c r="K32" s="1" t="s">
        <v>88</v>
      </c>
      <c r="L32" s="1" t="s">
        <v>3</v>
      </c>
    </row>
    <row r="33" spans="3:13" x14ac:dyDescent="0.3">
      <c r="C33" s="4" t="s">
        <v>6</v>
      </c>
      <c r="D33" s="1"/>
      <c r="K33" s="30" t="s">
        <v>84</v>
      </c>
      <c r="L33" s="31">
        <v>12</v>
      </c>
    </row>
    <row r="34" spans="3:13" x14ac:dyDescent="0.3">
      <c r="C34" s="4" t="s">
        <v>35</v>
      </c>
      <c r="D34" s="1"/>
      <c r="K34" s="30" t="s">
        <v>90</v>
      </c>
      <c r="L34" s="31">
        <f>((PI()/4)*(L33*25.4/1000)^2)</f>
        <v>7.296587699003966E-2</v>
      </c>
    </row>
    <row r="35" spans="3:13" x14ac:dyDescent="0.3">
      <c r="C35" s="4" t="s">
        <v>31</v>
      </c>
      <c r="D35" s="1"/>
      <c r="K35" s="30" t="s">
        <v>134</v>
      </c>
      <c r="L35" s="31" t="e">
        <f>(D5+E5)/((D5/D6)+(E5/E6))</f>
        <v>#DIV/0!</v>
      </c>
    </row>
    <row r="36" spans="3:13" x14ac:dyDescent="0.3">
      <c r="C36" s="4" t="s">
        <v>32</v>
      </c>
      <c r="D36" s="1"/>
      <c r="K36" s="30" t="s">
        <v>92</v>
      </c>
      <c r="L36" s="31" t="e">
        <f>(D5+E5)/L35/3600/L34</f>
        <v>#DIV/0!</v>
      </c>
    </row>
    <row r="37" spans="3:13" x14ac:dyDescent="0.3">
      <c r="C37" s="4" t="s">
        <v>33</v>
      </c>
      <c r="D37" s="1"/>
      <c r="K37" s="30" t="s">
        <v>135</v>
      </c>
      <c r="L37" s="31" t="e">
        <f>L35*L36*L36</f>
        <v>#DIV/0!</v>
      </c>
      <c r="M37" s="27">
        <v>6000</v>
      </c>
    </row>
    <row r="38" spans="3:13" x14ac:dyDescent="0.3">
      <c r="C38" s="4" t="s">
        <v>43</v>
      </c>
      <c r="D38" s="1" t="s">
        <v>44</v>
      </c>
      <c r="K38" s="30" t="s">
        <v>136</v>
      </c>
      <c r="L38" s="31" t="e">
        <f>E6*((E5/E6/3600/L34)^2)</f>
        <v>#DIV/0!</v>
      </c>
      <c r="M38" s="27">
        <v>3750</v>
      </c>
    </row>
    <row r="39" spans="3:13" x14ac:dyDescent="0.3">
      <c r="C39" s="4" t="s">
        <v>3</v>
      </c>
      <c r="D39" s="1">
        <v>18</v>
      </c>
      <c r="K39" s="17" t="s">
        <v>88</v>
      </c>
      <c r="L39" s="1" t="s">
        <v>137</v>
      </c>
    </row>
    <row r="40" spans="3:13" x14ac:dyDescent="0.3">
      <c r="C40" s="25" t="s">
        <v>139</v>
      </c>
      <c r="D40" s="1">
        <v>8</v>
      </c>
      <c r="K40" s="30" t="s">
        <v>84</v>
      </c>
      <c r="L40" s="31">
        <v>6</v>
      </c>
    </row>
    <row r="41" spans="3:13" x14ac:dyDescent="0.3">
      <c r="C41" s="25" t="s">
        <v>140</v>
      </c>
      <c r="D41" s="1">
        <v>14</v>
      </c>
      <c r="K41" s="30" t="s">
        <v>90</v>
      </c>
      <c r="L41" s="31">
        <f>(PI()/4)*((L40*25.4/1000)^2)</f>
        <v>1.8241469247509915E-2</v>
      </c>
    </row>
    <row r="42" spans="3:13" x14ac:dyDescent="0.3">
      <c r="C42" s="3"/>
      <c r="D42" s="1"/>
      <c r="K42" s="30" t="s">
        <v>92</v>
      </c>
      <c r="L42" s="31" t="e">
        <f>E5/E6/3600/L41</f>
        <v>#DIV/0!</v>
      </c>
    </row>
    <row r="43" spans="3:13" x14ac:dyDescent="0.3">
      <c r="C43" s="3"/>
      <c r="D43" s="1"/>
      <c r="K43" s="30" t="s">
        <v>136</v>
      </c>
      <c r="L43" s="31" t="e">
        <f>E6*L42^2</f>
        <v>#DIV/0!</v>
      </c>
      <c r="M43" s="27">
        <v>3750</v>
      </c>
    </row>
    <row r="44" spans="3:13" x14ac:dyDescent="0.3">
      <c r="C44" s="3"/>
      <c r="D44" s="1"/>
      <c r="K44" s="17" t="s">
        <v>88</v>
      </c>
      <c r="L44" s="1" t="s">
        <v>0</v>
      </c>
    </row>
    <row r="45" spans="3:13" x14ac:dyDescent="0.3">
      <c r="C45" s="4"/>
      <c r="D45" s="16" t="s">
        <v>73</v>
      </c>
      <c r="K45" s="30" t="s">
        <v>84</v>
      </c>
      <c r="L45" s="31">
        <v>14</v>
      </c>
    </row>
    <row r="46" spans="3:13" x14ac:dyDescent="0.3">
      <c r="C46" s="4" t="s">
        <v>64</v>
      </c>
      <c r="D46" s="15">
        <f>D22/D21</f>
        <v>3.0352941176470587</v>
      </c>
      <c r="K46" s="30" t="s">
        <v>90</v>
      </c>
      <c r="L46" s="31">
        <f>(PI()/4)*((L45*25.4/1000)^2)</f>
        <v>9.9314665903109542E-2</v>
      </c>
    </row>
    <row r="47" spans="3:13" x14ac:dyDescent="0.3">
      <c r="C47" s="4" t="s">
        <v>141</v>
      </c>
      <c r="D47" s="15">
        <v>0</v>
      </c>
      <c r="K47" s="30" t="s">
        <v>138</v>
      </c>
      <c r="L47" s="31">
        <f>D5/D6/3600/L46</f>
        <v>1.5609160081461657</v>
      </c>
      <c r="M47" s="27">
        <v>1</v>
      </c>
    </row>
    <row r="48" spans="3:13" x14ac:dyDescent="0.3">
      <c r="C48" s="4"/>
      <c r="D48" s="15"/>
      <c r="K48" s="17"/>
      <c r="L48" s="1"/>
    </row>
    <row r="49" spans="3:12" x14ac:dyDescent="0.3">
      <c r="C49" s="4"/>
      <c r="D49" s="15"/>
      <c r="K49" s="30" t="s">
        <v>114</v>
      </c>
      <c r="L49" s="31" t="e">
        <f xml:space="preserve"> L31+1.5*((L40+L33)*25.4/1000)</f>
        <v>#DIV/0!</v>
      </c>
    </row>
    <row r="50" spans="3:12" x14ac:dyDescent="0.3">
      <c r="C50" s="4" t="s">
        <v>68</v>
      </c>
      <c r="D50" s="15">
        <v>325</v>
      </c>
      <c r="L50" s="31"/>
    </row>
    <row r="51" spans="3:12" x14ac:dyDescent="0.3">
      <c r="C51" s="4" t="s">
        <v>69</v>
      </c>
      <c r="D51" s="15">
        <v>400</v>
      </c>
      <c r="L51" s="31"/>
    </row>
    <row r="52" spans="3:12" x14ac:dyDescent="0.3">
      <c r="C52" s="4" t="s">
        <v>70</v>
      </c>
      <c r="D52" s="15">
        <v>675</v>
      </c>
    </row>
    <row r="53" spans="3:12" x14ac:dyDescent="0.3">
      <c r="C53" s="4" t="s">
        <v>71</v>
      </c>
      <c r="D53" s="15">
        <v>400</v>
      </c>
    </row>
    <row r="54" spans="3:12" x14ac:dyDescent="0.3">
      <c r="C54" s="4" t="s">
        <v>72</v>
      </c>
      <c r="D54" s="15">
        <v>325</v>
      </c>
    </row>
    <row r="55" spans="3:12" x14ac:dyDescent="0.3">
      <c r="C55" s="4" t="s">
        <v>75</v>
      </c>
      <c r="D55" s="15"/>
    </row>
    <row r="56" spans="3:12" x14ac:dyDescent="0.3">
      <c r="C56" s="4" t="s">
        <v>76</v>
      </c>
      <c r="D56" s="15">
        <f xml:space="preserve"> 875 +D42</f>
        <v>875</v>
      </c>
    </row>
    <row r="57" spans="3:12" x14ac:dyDescent="0.3">
      <c r="C57" s="4" t="s">
        <v>78</v>
      </c>
      <c r="D57" s="15"/>
    </row>
  </sheetData>
  <pageMargins left="0.7" right="0.7" top="0.75" bottom="0.75" header="0.3" footer="0.3"/>
  <pageSetup orientation="landscape" r:id="rId1"/>
  <tableParts count="5">
    <tablePart r:id="rId2"/>
    <tablePart r:id="rId3"/>
    <tablePart r:id="rId4"/>
    <tablePart r:id="rId5"/>
    <tablePart r:id="rId6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N60"/>
  <sheetViews>
    <sheetView zoomScale="110" zoomScaleNormal="110" workbookViewId="0">
      <selection activeCell="N9" sqref="N9"/>
    </sheetView>
  </sheetViews>
  <sheetFormatPr defaultRowHeight="14.4" x14ac:dyDescent="0.3"/>
  <cols>
    <col min="2" max="2" width="15.6640625" customWidth="1"/>
    <col min="3" max="3" width="21.5546875" customWidth="1"/>
    <col min="4" max="4" width="18.44140625" customWidth="1"/>
    <col min="5" max="5" width="18.109375" customWidth="1"/>
    <col min="7" max="7" width="10.5546875" customWidth="1"/>
    <col min="10" max="10" width="21.109375" customWidth="1"/>
    <col min="11" max="11" width="13.88671875" customWidth="1"/>
    <col min="12" max="12" width="13.33203125" customWidth="1"/>
    <col min="13" max="13" width="12.88671875" customWidth="1"/>
    <col min="14" max="14" width="11.109375" customWidth="1"/>
  </cols>
  <sheetData>
    <row r="2" spans="2:14" ht="15" thickBot="1" x14ac:dyDescent="0.35"/>
    <row r="3" spans="2:14" ht="15.6" thickTop="1" thickBot="1" x14ac:dyDescent="0.35">
      <c r="B3" s="8"/>
      <c r="C3" s="9" t="s">
        <v>3</v>
      </c>
      <c r="D3" s="8"/>
      <c r="K3" s="10" t="s">
        <v>79</v>
      </c>
      <c r="L3" s="10" t="s">
        <v>86</v>
      </c>
      <c r="M3" s="10" t="s">
        <v>160</v>
      </c>
      <c r="N3" s="34" t="s">
        <v>180</v>
      </c>
    </row>
    <row r="4" spans="2:14" ht="15.6" thickTop="1" thickBot="1" x14ac:dyDescent="0.35">
      <c r="B4" s="5" t="s">
        <v>2</v>
      </c>
      <c r="C4" s="6" t="s">
        <v>0</v>
      </c>
      <c r="D4" s="7" t="s">
        <v>1</v>
      </c>
      <c r="E4" s="31" t="s">
        <v>108</v>
      </c>
      <c r="F4" s="31" t="s">
        <v>156</v>
      </c>
      <c r="G4" s="31"/>
      <c r="H4" s="31"/>
      <c r="J4" s="4" t="s">
        <v>2</v>
      </c>
      <c r="K4" s="19" t="s">
        <v>23</v>
      </c>
      <c r="L4" s="18" t="s">
        <v>23</v>
      </c>
      <c r="M4" s="18" t="s">
        <v>153</v>
      </c>
      <c r="N4" s="18" t="s">
        <v>154</v>
      </c>
    </row>
    <row r="5" spans="2:14" ht="15.6" thickTop="1" thickBot="1" x14ac:dyDescent="0.35">
      <c r="B5" s="4" t="s">
        <v>16</v>
      </c>
      <c r="C5" s="1">
        <v>3100</v>
      </c>
      <c r="D5" s="2">
        <v>307320</v>
      </c>
      <c r="E5">
        <f>Table1814172026323841[[#This Row],[INLET]]/C6/60</f>
        <v>5.2135889673730243E-2</v>
      </c>
      <c r="J5" s="4" t="s">
        <v>80</v>
      </c>
      <c r="K5" s="19">
        <f t="shared" ref="K5" si="0">(C6/D6)-1</f>
        <v>91.877225866916589</v>
      </c>
      <c r="L5" s="18">
        <f>Table550[[#This Row],[OUTPUT]]</f>
        <v>91.877225866916589</v>
      </c>
      <c r="M5" s="35">
        <f>Table550[[#This Row],[OUTPUT]]</f>
        <v>91.877225866916589</v>
      </c>
      <c r="N5" s="23">
        <f t="shared" ref="N5" si="1">SQRT((C6-D6)/D6)</f>
        <v>9.5852608658771814</v>
      </c>
    </row>
    <row r="6" spans="2:14" ht="15.6" thickTop="1" thickBot="1" x14ac:dyDescent="0.35">
      <c r="B6" s="4" t="s">
        <v>22</v>
      </c>
      <c r="C6" s="1">
        <v>991</v>
      </c>
      <c r="D6" s="2">
        <v>10.67</v>
      </c>
      <c r="E6">
        <f>3.14*M9*M9/4</f>
        <v>4.9098819020148809</v>
      </c>
      <c r="J6" s="4" t="s">
        <v>81</v>
      </c>
      <c r="K6" s="19">
        <v>0.95</v>
      </c>
      <c r="L6" s="18">
        <f>0.048*((Table181417[[#This Row],[INLET]]-D6)/D6)^0.5</f>
        <v>0.45962295781999568</v>
      </c>
      <c r="M6" s="35">
        <f>0.17*SQRT(M5)</f>
        <v>1.629494347199121</v>
      </c>
      <c r="N6" s="23">
        <f>N5*0.17</f>
        <v>1.629494347199121</v>
      </c>
    </row>
    <row r="7" spans="2:14" ht="15.6" thickTop="1" thickBot="1" x14ac:dyDescent="0.35">
      <c r="B7" s="4" t="s">
        <v>17</v>
      </c>
      <c r="C7" s="1"/>
      <c r="D7" s="2"/>
      <c r="E7">
        <f>5*E5/E6</f>
        <v>5.3092814363147001E-2</v>
      </c>
      <c r="J7" s="4" t="s">
        <v>82</v>
      </c>
      <c r="K7" s="19">
        <f>K6*0.85</f>
        <v>0.8075</v>
      </c>
      <c r="L7" s="18">
        <f>L6*L11</f>
        <v>1.5167557608059856</v>
      </c>
      <c r="M7" s="35">
        <f>M6</f>
        <v>1.629494347199121</v>
      </c>
      <c r="N7" s="23">
        <f>1*N6</f>
        <v>1.629494347199121</v>
      </c>
    </row>
    <row r="8" spans="2:14" ht="15" thickTop="1" x14ac:dyDescent="0.3">
      <c r="B8" s="4" t="s">
        <v>18</v>
      </c>
      <c r="C8" s="1">
        <v>48</v>
      </c>
      <c r="D8" s="2">
        <v>48</v>
      </c>
      <c r="J8" s="4" t="s">
        <v>83</v>
      </c>
      <c r="K8" s="19">
        <f>D5/D6/3600</f>
        <v>8.0006248047485169</v>
      </c>
      <c r="L8" s="18">
        <f>Table550[[#This Row],[OUTPUT]]</f>
        <v>8.0006248047485169</v>
      </c>
      <c r="M8" s="35">
        <f>Table651[[#This Row],[OUTPUT]]</f>
        <v>8.0006248047485169</v>
      </c>
      <c r="N8" s="23">
        <f>D5/D6/3600</f>
        <v>8.0006248047485169</v>
      </c>
    </row>
    <row r="9" spans="2:14" ht="15" thickBot="1" x14ac:dyDescent="0.35">
      <c r="B9" s="4" t="s">
        <v>19</v>
      </c>
      <c r="C9" s="1">
        <v>24</v>
      </c>
      <c r="D9" s="2">
        <v>24</v>
      </c>
      <c r="J9" s="4" t="s">
        <v>84</v>
      </c>
      <c r="K9" s="19">
        <f>(4*K8/K7/3.14)^0.5</f>
        <v>3.552678095428623</v>
      </c>
      <c r="L9" s="18">
        <f>(4*L8/L7/3.14)^0.5</f>
        <v>2.5922047209852672</v>
      </c>
      <c r="M9" s="18">
        <f>(4*M8/M7/3.14)^0.5</f>
        <v>2.5009251541720614</v>
      </c>
      <c r="N9" s="23">
        <f>SQRT((4/3.14)*(N8/N7))</f>
        <v>2.5009251541720614</v>
      </c>
    </row>
    <row r="10" spans="2:14" ht="15.6" thickTop="1" thickBot="1" x14ac:dyDescent="0.35">
      <c r="B10" s="4" t="s">
        <v>20</v>
      </c>
      <c r="C10" s="1">
        <v>100</v>
      </c>
      <c r="D10" s="2">
        <v>100</v>
      </c>
      <c r="J10" s="4" t="s">
        <v>85</v>
      </c>
      <c r="K10" s="19">
        <f>K9+0.15</f>
        <v>3.7026780954286229</v>
      </c>
      <c r="L10" s="18">
        <f>L9+0.15</f>
        <v>2.7422047209852671</v>
      </c>
      <c r="M10" s="35"/>
      <c r="N10" s="23"/>
    </row>
    <row r="11" spans="2:14" ht="15.6" thickTop="1" thickBot="1" x14ac:dyDescent="0.35">
      <c r="B11" s="4" t="s">
        <v>21</v>
      </c>
      <c r="C11" s="1">
        <v>57</v>
      </c>
      <c r="D11" s="2">
        <v>57</v>
      </c>
      <c r="J11" s="4" t="s">
        <v>87</v>
      </c>
      <c r="K11" s="19"/>
      <c r="L11" s="18">
        <v>3.3</v>
      </c>
      <c r="M11" s="35"/>
      <c r="N11" s="23"/>
    </row>
    <row r="12" spans="2:14" ht="15.6" thickTop="1" thickBot="1" x14ac:dyDescent="0.35">
      <c r="B12" s="4"/>
      <c r="C12" s="1"/>
      <c r="D12" s="2"/>
      <c r="J12" s="22" t="s">
        <v>88</v>
      </c>
      <c r="K12" s="1" t="s">
        <v>3</v>
      </c>
      <c r="L12" s="1"/>
      <c r="M12" s="35"/>
      <c r="N12" s="23"/>
    </row>
    <row r="13" spans="2:14" ht="15.6" thickTop="1" thickBot="1" x14ac:dyDescent="0.35">
      <c r="B13" s="4"/>
      <c r="C13" s="1"/>
      <c r="D13" s="2"/>
      <c r="J13" s="4" t="s">
        <v>89</v>
      </c>
      <c r="K13" s="19">
        <v>36</v>
      </c>
      <c r="L13" s="18"/>
      <c r="M13" s="35"/>
      <c r="N13" s="23"/>
    </row>
    <row r="14" spans="2:14" ht="15.6" thickTop="1" thickBot="1" x14ac:dyDescent="0.35">
      <c r="B14" s="4"/>
      <c r="C14" s="1"/>
      <c r="D14" s="2"/>
      <c r="J14" s="4" t="s">
        <v>90</v>
      </c>
      <c r="K14" s="19">
        <f>PI()/4*(K13*25.4/1000)^2</f>
        <v>0.65669289291035704</v>
      </c>
      <c r="L14" s="18"/>
      <c r="M14" s="35"/>
      <c r="N14" s="23"/>
    </row>
    <row r="15" spans="2:14" ht="15.6" thickTop="1" thickBot="1" x14ac:dyDescent="0.35">
      <c r="B15" s="4"/>
      <c r="C15" s="1"/>
      <c r="D15" s="2"/>
      <c r="J15" s="4" t="s">
        <v>91</v>
      </c>
      <c r="K15" s="19">
        <f>(C5+D5)/((C5/C6)+(D5/D6))</f>
        <v>10.776460073599219</v>
      </c>
      <c r="L15" s="18"/>
      <c r="M15" s="35"/>
      <c r="N15" s="23"/>
    </row>
    <row r="16" spans="2:14" ht="15.6" thickTop="1" thickBot="1" x14ac:dyDescent="0.35">
      <c r="B16" s="4"/>
      <c r="C16" s="1"/>
      <c r="D16" s="2"/>
      <c r="J16" s="4" t="s">
        <v>92</v>
      </c>
      <c r="K16" s="19">
        <f xml:space="preserve"> (C5+D5)/K15/K14/3600</f>
        <v>12.184529210879303</v>
      </c>
      <c r="L16" s="18"/>
      <c r="M16" s="35"/>
      <c r="N16" s="23"/>
    </row>
    <row r="17" spans="2:14" ht="15.6" thickTop="1" thickBot="1" x14ac:dyDescent="0.35">
      <c r="B17" s="4"/>
      <c r="C17" s="1"/>
      <c r="D17" s="2"/>
      <c r="J17" s="4" t="s">
        <v>93</v>
      </c>
      <c r="K17" s="19">
        <f>K15*(K16^2)</f>
        <v>1599.9029203228527</v>
      </c>
      <c r="L17" s="18"/>
      <c r="M17" s="35"/>
      <c r="N17" s="23"/>
    </row>
    <row r="18" spans="2:14" ht="15.6" thickTop="1" thickBot="1" x14ac:dyDescent="0.35">
      <c r="J18" s="4" t="s">
        <v>94</v>
      </c>
      <c r="K18" s="19">
        <f>D6*((D5/D6/3600/K14)^2)</f>
        <v>1583.7535296645672</v>
      </c>
      <c r="L18" s="18"/>
      <c r="M18" s="35"/>
      <c r="N18" s="23"/>
    </row>
    <row r="19" spans="2:14" ht="15.6" thickTop="1" thickBot="1" x14ac:dyDescent="0.35">
      <c r="D19" s="10" t="s">
        <v>4</v>
      </c>
      <c r="J19" s="22" t="s">
        <v>88</v>
      </c>
      <c r="K19" s="1" t="s">
        <v>97</v>
      </c>
      <c r="L19" s="1"/>
      <c r="M19" s="35"/>
      <c r="N19" s="23"/>
    </row>
    <row r="20" spans="2:14" ht="15.6" thickTop="1" thickBot="1" x14ac:dyDescent="0.35">
      <c r="C20" s="4" t="s">
        <v>2</v>
      </c>
      <c r="D20" s="1" t="s">
        <v>9</v>
      </c>
      <c r="J20" s="4" t="s">
        <v>89</v>
      </c>
      <c r="K20" s="19">
        <v>28</v>
      </c>
      <c r="L20" s="18"/>
      <c r="M20" s="35"/>
      <c r="N20" s="23"/>
    </row>
    <row r="21" spans="2:14" ht="15.6" thickTop="1" thickBot="1" x14ac:dyDescent="0.35">
      <c r="C21" s="4" t="s">
        <v>24</v>
      </c>
      <c r="D21" s="1">
        <v>2400</v>
      </c>
      <c r="J21" s="4" t="s">
        <v>90</v>
      </c>
      <c r="K21" s="20">
        <f>PI()/4*(K20*25.4/1000)^2</f>
        <v>0.39725866361243817</v>
      </c>
      <c r="L21" s="18"/>
      <c r="M21" s="35"/>
      <c r="N21" s="23"/>
    </row>
    <row r="22" spans="2:14" ht="15.6" thickTop="1" thickBot="1" x14ac:dyDescent="0.35">
      <c r="C22" s="4" t="s">
        <v>5</v>
      </c>
      <c r="D22" s="1">
        <v>6500</v>
      </c>
      <c r="J22" s="4" t="s">
        <v>82</v>
      </c>
      <c r="K22" s="20">
        <f>D5/D6/3600/K21</f>
        <v>20.13958545798727</v>
      </c>
      <c r="L22" s="18"/>
      <c r="M22" s="35"/>
      <c r="N22" s="23"/>
    </row>
    <row r="23" spans="2:14" ht="15.6" thickTop="1" thickBot="1" x14ac:dyDescent="0.35">
      <c r="C23" s="4" t="s">
        <v>6</v>
      </c>
      <c r="D23" s="1" t="s">
        <v>37</v>
      </c>
      <c r="J23" s="4"/>
      <c r="K23" s="21"/>
      <c r="L23" s="18"/>
      <c r="M23" s="35"/>
      <c r="N23" s="23"/>
    </row>
    <row r="24" spans="2:14" ht="15.6" thickTop="1" thickBot="1" x14ac:dyDescent="0.35">
      <c r="C24" s="4" t="s">
        <v>7</v>
      </c>
      <c r="D24" s="1" t="s">
        <v>26</v>
      </c>
      <c r="J24" s="4"/>
      <c r="K24" s="21"/>
      <c r="L24" s="23"/>
      <c r="M24" s="35"/>
      <c r="N24" s="23"/>
    </row>
    <row r="25" spans="2:14" ht="15.6" thickTop="1" thickBot="1" x14ac:dyDescent="0.35">
      <c r="C25" s="4" t="s">
        <v>8</v>
      </c>
      <c r="D25" s="1" t="s">
        <v>26</v>
      </c>
      <c r="J25" s="4" t="s">
        <v>94</v>
      </c>
      <c r="K25" s="21">
        <f>D6*((D5/D6/3600/K21)^2)</f>
        <v>4327.7829688168367</v>
      </c>
      <c r="L25" s="23"/>
      <c r="M25" s="35"/>
      <c r="N25" s="23"/>
    </row>
    <row r="26" spans="2:14" ht="15.6" thickTop="1" thickBot="1" x14ac:dyDescent="0.35">
      <c r="C26" s="4" t="s">
        <v>10</v>
      </c>
      <c r="D26" s="1">
        <v>150</v>
      </c>
      <c r="J26" s="22" t="s">
        <v>88</v>
      </c>
      <c r="K26" s="24" t="s">
        <v>0</v>
      </c>
      <c r="L26" s="24"/>
      <c r="M26" s="35"/>
      <c r="N26" s="23"/>
    </row>
    <row r="27" spans="2:14" ht="15.6" thickTop="1" thickBot="1" x14ac:dyDescent="0.35">
      <c r="C27" s="4" t="s">
        <v>11</v>
      </c>
      <c r="D27" s="1"/>
      <c r="J27" s="4" t="s">
        <v>89</v>
      </c>
      <c r="K27" s="21">
        <v>4</v>
      </c>
      <c r="L27" s="23"/>
      <c r="M27" s="35"/>
      <c r="N27" s="23"/>
    </row>
    <row r="28" spans="2:14" ht="15.6" thickTop="1" thickBot="1" x14ac:dyDescent="0.35">
      <c r="C28" s="4" t="s">
        <v>12</v>
      </c>
      <c r="D28" s="1"/>
      <c r="J28" s="4" t="s">
        <v>90</v>
      </c>
      <c r="K28" s="21">
        <f>PI()/4*(K27*25.4/1000)^2</f>
        <v>8.107319665559963E-3</v>
      </c>
      <c r="L28" s="23"/>
      <c r="M28" s="35"/>
      <c r="N28" s="23"/>
    </row>
    <row r="29" spans="2:14" ht="15.6" thickTop="1" thickBot="1" x14ac:dyDescent="0.35">
      <c r="C29" s="4" t="s">
        <v>13</v>
      </c>
      <c r="D29" s="1">
        <v>800</v>
      </c>
      <c r="J29" s="4" t="s">
        <v>98</v>
      </c>
      <c r="K29" s="21">
        <f>C5/C6/3600/K28</f>
        <v>0.10717863984732304</v>
      </c>
      <c r="L29" s="23"/>
      <c r="M29" s="35"/>
      <c r="N29" s="23"/>
    </row>
    <row r="30" spans="2:14" ht="15.6" thickTop="1" thickBot="1" x14ac:dyDescent="0.35">
      <c r="C30" s="4" t="s">
        <v>15</v>
      </c>
      <c r="D30" s="1" t="s">
        <v>59</v>
      </c>
      <c r="J30" s="22" t="s">
        <v>99</v>
      </c>
      <c r="K30" s="24"/>
      <c r="L30" s="24"/>
      <c r="M30" s="35"/>
      <c r="N30" s="23"/>
    </row>
    <row r="31" spans="2:14" ht="15.6" thickTop="1" thickBot="1" x14ac:dyDescent="0.35">
      <c r="C31" s="4" t="s">
        <v>14</v>
      </c>
      <c r="D31" s="1" t="s">
        <v>46</v>
      </c>
      <c r="J31" s="4" t="s">
        <v>72</v>
      </c>
      <c r="K31" s="21">
        <v>150</v>
      </c>
      <c r="L31" s="23"/>
      <c r="M31" s="35"/>
      <c r="N31" s="23"/>
    </row>
    <row r="32" spans="2:14" ht="15.6" thickTop="1" thickBot="1" x14ac:dyDescent="0.35">
      <c r="C32" s="4" t="s">
        <v>15</v>
      </c>
      <c r="D32" s="1" t="s">
        <v>28</v>
      </c>
      <c r="J32" s="4" t="s">
        <v>71</v>
      </c>
      <c r="K32" s="21">
        <f>ROUNDUP(MAX(150,2*C5/C6/60/(PI()/4*K9^2)*1000),0)</f>
        <v>150</v>
      </c>
      <c r="L32" s="23"/>
      <c r="M32" s="35"/>
      <c r="N32" s="23"/>
    </row>
    <row r="33" spans="3:14" ht="15.6" thickTop="1" thickBot="1" x14ac:dyDescent="0.35">
      <c r="C33" s="4" t="s">
        <v>60</v>
      </c>
      <c r="D33" s="1" t="s">
        <v>61</v>
      </c>
      <c r="J33" s="4" t="s">
        <v>70</v>
      </c>
      <c r="K33" s="21">
        <f>ROUNDUP(MAX(150,4*C5/C6/60/(PI()/4*K9^2)*1000),0)</f>
        <v>150</v>
      </c>
      <c r="L33" s="23"/>
      <c r="M33" s="35"/>
      <c r="N33" s="23"/>
    </row>
    <row r="34" spans="3:14" ht="15.6" thickTop="1" thickBot="1" x14ac:dyDescent="0.35">
      <c r="C34" s="4" t="s">
        <v>62</v>
      </c>
      <c r="D34" s="14">
        <v>0.98</v>
      </c>
      <c r="J34" s="4" t="s">
        <v>69</v>
      </c>
      <c r="K34" s="21">
        <f>ROUNDUP(MAX(200,2*C5/C6/60/(PI()/4*K9^2)*1000),0)</f>
        <v>200</v>
      </c>
      <c r="L34" s="23"/>
      <c r="M34" s="35"/>
      <c r="N34" s="23"/>
    </row>
    <row r="35" spans="3:14" ht="15.6" thickTop="1" thickBot="1" x14ac:dyDescent="0.35">
      <c r="C35" s="4" t="s">
        <v>63</v>
      </c>
      <c r="D35" s="1">
        <v>50</v>
      </c>
      <c r="J35" s="4" t="s">
        <v>68</v>
      </c>
      <c r="K35" s="21">
        <f>400+K13*25.4/2</f>
        <v>857.2</v>
      </c>
      <c r="L35" s="23"/>
      <c r="M35" s="35"/>
      <c r="N35" s="23"/>
    </row>
    <row r="36" spans="3:14" ht="15.6" thickTop="1" thickBot="1" x14ac:dyDescent="0.35">
      <c r="C36" s="4" t="s">
        <v>31</v>
      </c>
      <c r="D36" s="1"/>
      <c r="J36" s="4" t="s">
        <v>67</v>
      </c>
      <c r="K36" s="21">
        <f>MAX(0.5*K10*1000,600)</f>
        <v>1851.3390477143114</v>
      </c>
      <c r="L36" s="23"/>
      <c r="M36" s="35"/>
      <c r="N36" s="23"/>
    </row>
    <row r="37" spans="3:14" ht="15.6" thickTop="1" thickBot="1" x14ac:dyDescent="0.35">
      <c r="C37" s="4" t="s">
        <v>32</v>
      </c>
      <c r="D37" s="1"/>
      <c r="J37" s="4" t="s">
        <v>66</v>
      </c>
      <c r="K37" s="21">
        <v>150</v>
      </c>
      <c r="L37" s="23"/>
      <c r="M37" s="35"/>
      <c r="N37" s="23"/>
    </row>
    <row r="38" spans="3:14" ht="15.6" thickTop="1" thickBot="1" x14ac:dyDescent="0.35">
      <c r="C38" s="4" t="s">
        <v>33</v>
      </c>
      <c r="D38" s="1">
        <v>100</v>
      </c>
      <c r="J38" s="4" t="s">
        <v>65</v>
      </c>
      <c r="K38" s="21">
        <f>MAX(0.15*K10*1000,400)</f>
        <v>555.40171431429337</v>
      </c>
      <c r="L38" s="23"/>
      <c r="M38" s="35"/>
      <c r="N38" s="23"/>
    </row>
    <row r="39" spans="3:14" ht="15.6" thickTop="1" thickBot="1" x14ac:dyDescent="0.35">
      <c r="C39" s="4"/>
      <c r="D39" s="1"/>
      <c r="J39" s="4" t="s">
        <v>100</v>
      </c>
      <c r="K39" s="21">
        <f>SUM(K31:K38)</f>
        <v>4063.9407620286047</v>
      </c>
      <c r="L39" s="23"/>
      <c r="M39" s="35"/>
      <c r="N39" s="23"/>
    </row>
    <row r="40" spans="3:14" ht="15" thickTop="1" x14ac:dyDescent="0.3">
      <c r="C40" s="4"/>
      <c r="D40" s="1"/>
      <c r="J40" s="4" t="s">
        <v>64</v>
      </c>
      <c r="K40" s="21">
        <f>K39*0.001/K10</f>
        <v>1.0975679379328174</v>
      </c>
      <c r="L40" s="23"/>
      <c r="M40" s="35"/>
      <c r="N40" s="23"/>
    </row>
    <row r="41" spans="3:14" x14ac:dyDescent="0.3">
      <c r="C41" s="4"/>
      <c r="D41" s="1"/>
      <c r="J41" s="22" t="s">
        <v>99</v>
      </c>
      <c r="K41" s="17"/>
      <c r="L41" s="17"/>
    </row>
    <row r="42" spans="3:14" x14ac:dyDescent="0.3">
      <c r="C42" s="4"/>
      <c r="D42" s="1"/>
      <c r="J42" s="25" t="s">
        <v>101</v>
      </c>
    </row>
    <row r="43" spans="3:14" x14ac:dyDescent="0.3">
      <c r="C43" s="4"/>
      <c r="D43" s="14"/>
      <c r="J43" s="25" t="s">
        <v>102</v>
      </c>
    </row>
    <row r="44" spans="3:14" x14ac:dyDescent="0.3">
      <c r="C44" s="4"/>
      <c r="D44" s="1"/>
      <c r="J44" s="25" t="s">
        <v>103</v>
      </c>
    </row>
    <row r="45" spans="3:14" x14ac:dyDescent="0.3">
      <c r="C45" s="4"/>
      <c r="D45" s="1"/>
      <c r="J45" s="25" t="s">
        <v>104</v>
      </c>
    </row>
    <row r="46" spans="3:14" x14ac:dyDescent="0.3">
      <c r="C46" s="4"/>
      <c r="D46" s="1"/>
      <c r="J46" s="25" t="s">
        <v>105</v>
      </c>
    </row>
    <row r="47" spans="3:14" x14ac:dyDescent="0.3">
      <c r="C47" s="4"/>
      <c r="D47" s="1"/>
      <c r="J47" s="25" t="s">
        <v>106</v>
      </c>
    </row>
    <row r="48" spans="3:14" x14ac:dyDescent="0.3">
      <c r="C48" s="4"/>
      <c r="D48" s="11" t="s">
        <v>23</v>
      </c>
      <c r="J48" s="25" t="s">
        <v>107</v>
      </c>
    </row>
    <row r="49" spans="3:4" x14ac:dyDescent="0.3">
      <c r="C49" s="4"/>
      <c r="D49" s="11"/>
    </row>
    <row r="50" spans="3:4" x14ac:dyDescent="0.3">
      <c r="C50" s="3"/>
      <c r="D50" s="11"/>
    </row>
    <row r="51" spans="3:4" x14ac:dyDescent="0.3">
      <c r="C51" s="3"/>
      <c r="D51" s="11"/>
    </row>
    <row r="52" spans="3:4" x14ac:dyDescent="0.3">
      <c r="C52" s="3"/>
      <c r="D52" s="11"/>
    </row>
    <row r="53" spans="3:4" x14ac:dyDescent="0.3">
      <c r="C53" s="3"/>
      <c r="D53" s="11"/>
    </row>
    <row r="54" spans="3:4" x14ac:dyDescent="0.3">
      <c r="D54" s="11"/>
    </row>
    <row r="55" spans="3:4" x14ac:dyDescent="0.3">
      <c r="D55" s="11"/>
    </row>
    <row r="56" spans="3:4" x14ac:dyDescent="0.3">
      <c r="D56" s="11"/>
    </row>
    <row r="57" spans="3:4" x14ac:dyDescent="0.3">
      <c r="D57" s="11"/>
    </row>
    <row r="58" spans="3:4" x14ac:dyDescent="0.3">
      <c r="D58" s="11"/>
    </row>
    <row r="59" spans="3:4" x14ac:dyDescent="0.3">
      <c r="D59" s="11"/>
    </row>
    <row r="60" spans="3:4" x14ac:dyDescent="0.3">
      <c r="D60" s="11"/>
    </row>
  </sheetData>
  <phoneticPr fontId="14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M60"/>
  <sheetViews>
    <sheetView workbookViewId="0">
      <selection activeCell="B3" sqref="B3:D17"/>
    </sheetView>
  </sheetViews>
  <sheetFormatPr defaultRowHeight="14.4" x14ac:dyDescent="0.3"/>
  <cols>
    <col min="2" max="2" width="24" customWidth="1"/>
    <col min="3" max="3" width="27.88671875" customWidth="1"/>
    <col min="4" max="4" width="22.44140625" customWidth="1"/>
    <col min="5" max="5" width="18.88671875" customWidth="1"/>
    <col min="10" max="10" width="18.109375" customWidth="1"/>
    <col min="11" max="11" width="12.88671875" customWidth="1"/>
    <col min="12" max="12" width="14.109375" customWidth="1"/>
    <col min="13" max="13" width="13" customWidth="1"/>
  </cols>
  <sheetData>
    <row r="2" spans="2:13" ht="15" thickBot="1" x14ac:dyDescent="0.35"/>
    <row r="3" spans="2:13" ht="15.6" thickTop="1" thickBot="1" x14ac:dyDescent="0.35">
      <c r="B3" s="8"/>
      <c r="C3" s="9" t="s">
        <v>3</v>
      </c>
      <c r="D3" s="8"/>
      <c r="K3" s="10" t="s">
        <v>79</v>
      </c>
      <c r="L3" s="10" t="s">
        <v>86</v>
      </c>
      <c r="M3" s="10" t="s">
        <v>108</v>
      </c>
    </row>
    <row r="4" spans="2:13" ht="15" thickTop="1" x14ac:dyDescent="0.3">
      <c r="B4" s="5" t="s">
        <v>2</v>
      </c>
      <c r="C4" s="6" t="s">
        <v>0</v>
      </c>
      <c r="D4" s="7" t="s">
        <v>1</v>
      </c>
      <c r="J4" s="4" t="s">
        <v>2</v>
      </c>
      <c r="K4" s="19" t="s">
        <v>23</v>
      </c>
      <c r="L4" s="18" t="s">
        <v>23</v>
      </c>
      <c r="M4" s="18" t="s">
        <v>153</v>
      </c>
    </row>
    <row r="5" spans="2:13" x14ac:dyDescent="0.3">
      <c r="B5" s="4" t="s">
        <v>16</v>
      </c>
      <c r="C5" s="1">
        <v>3100</v>
      </c>
      <c r="D5" s="2">
        <v>307320</v>
      </c>
      <c r="E5">
        <f>Table181417202632384144[[#This Row],[INLET]]/C6/60</f>
        <v>5.2083333333333336E-2</v>
      </c>
      <c r="J5" s="4" t="s">
        <v>80</v>
      </c>
      <c r="K5" s="19">
        <f t="shared" ref="K5" si="0">(C6/D6)-1</f>
        <v>48.10891089108911</v>
      </c>
      <c r="L5" s="18">
        <f>Table55052[[#This Row],[OUTPUT]]</f>
        <v>48.10891089108911</v>
      </c>
      <c r="M5" s="23">
        <f>Table55052[[#This Row],[OUTPUT]]</f>
        <v>48.10891089108911</v>
      </c>
    </row>
    <row r="6" spans="2:13" x14ac:dyDescent="0.3">
      <c r="B6" s="4" t="s">
        <v>22</v>
      </c>
      <c r="C6" s="1">
        <v>992</v>
      </c>
      <c r="D6" s="2">
        <v>20.2</v>
      </c>
      <c r="E6">
        <f>3.14*M9*M9/4</f>
        <v>3.8080637394736816</v>
      </c>
      <c r="J6" s="4" t="s">
        <v>81</v>
      </c>
      <c r="K6" s="19">
        <v>0.25</v>
      </c>
      <c r="L6" s="18">
        <f>0.048*((Table181417[[#This Row],[INLET]]-D6)/D6)^0.5</f>
        <v>0.33241653459966086</v>
      </c>
      <c r="M6" s="23">
        <f>0.16*SQRT(M5)</f>
        <v>1.1097693989346982</v>
      </c>
    </row>
    <row r="7" spans="2:13" x14ac:dyDescent="0.3">
      <c r="B7" s="4" t="s">
        <v>17</v>
      </c>
      <c r="C7" s="1"/>
      <c r="D7" s="2"/>
      <c r="E7">
        <f>10*E5/E6</f>
        <v>0.13677117006589773</v>
      </c>
      <c r="J7" s="4" t="s">
        <v>82</v>
      </c>
      <c r="K7" s="19">
        <f>K6*0.85</f>
        <v>0.21249999999999999</v>
      </c>
      <c r="L7" s="18">
        <f>L6*L11</f>
        <v>1.0969745641788808</v>
      </c>
      <c r="M7" s="23">
        <f>M6</f>
        <v>1.1097693989346982</v>
      </c>
    </row>
    <row r="8" spans="2:13" x14ac:dyDescent="0.3">
      <c r="B8" s="4" t="s">
        <v>18</v>
      </c>
      <c r="C8" s="1">
        <v>48</v>
      </c>
      <c r="D8" s="2">
        <v>48</v>
      </c>
      <c r="J8" s="4" t="s">
        <v>83</v>
      </c>
      <c r="K8" s="19">
        <f>D5/D6/3600</f>
        <v>4.2260726072607264</v>
      </c>
      <c r="L8" s="18">
        <f>Table55052[[#This Row],[OUTPUT]]</f>
        <v>4.2260726072607264</v>
      </c>
      <c r="M8" s="23">
        <f>Table55052[[#This Row],[OUTPUT]]</f>
        <v>4.2260726072607264</v>
      </c>
    </row>
    <row r="9" spans="2:13" x14ac:dyDescent="0.3">
      <c r="B9" s="4" t="s">
        <v>19</v>
      </c>
      <c r="C9" s="1">
        <v>24</v>
      </c>
      <c r="D9" s="2">
        <v>24</v>
      </c>
      <c r="J9" s="4" t="s">
        <v>84</v>
      </c>
      <c r="K9" s="19">
        <f>(4*K8/K7/3.14)^0.5</f>
        <v>5.0333158214963323</v>
      </c>
      <c r="L9" s="18">
        <f>(4*L8/L7/3.14)^0.5</f>
        <v>2.2153143972847005</v>
      </c>
      <c r="M9" s="18">
        <f>(4*M8/M7/3.14)^0.5</f>
        <v>2.2025068923375697</v>
      </c>
    </row>
    <row r="10" spans="2:13" x14ac:dyDescent="0.3">
      <c r="B10" s="4" t="s">
        <v>20</v>
      </c>
      <c r="C10" s="1">
        <v>100</v>
      </c>
      <c r="D10" s="2">
        <v>100</v>
      </c>
      <c r="J10" s="4" t="s">
        <v>85</v>
      </c>
      <c r="K10" s="19">
        <f>K9+0.15</f>
        <v>5.1833158214963326</v>
      </c>
      <c r="L10" s="18">
        <f>L9</f>
        <v>2.2153143972847005</v>
      </c>
      <c r="M10" s="23"/>
    </row>
    <row r="11" spans="2:13" x14ac:dyDescent="0.3">
      <c r="B11" s="4" t="s">
        <v>21</v>
      </c>
      <c r="C11" s="1">
        <v>80</v>
      </c>
      <c r="D11" s="2">
        <v>80</v>
      </c>
      <c r="J11" s="4" t="s">
        <v>87</v>
      </c>
      <c r="K11" s="19"/>
      <c r="L11" s="18">
        <v>3.3</v>
      </c>
      <c r="M11" s="23"/>
    </row>
    <row r="12" spans="2:13" x14ac:dyDescent="0.3">
      <c r="B12" s="4"/>
      <c r="C12" s="1"/>
      <c r="D12" s="2"/>
      <c r="J12" s="22" t="s">
        <v>88</v>
      </c>
      <c r="K12" s="1" t="s">
        <v>3</v>
      </c>
      <c r="L12" s="1"/>
      <c r="M12" s="23"/>
    </row>
    <row r="13" spans="2:13" x14ac:dyDescent="0.3">
      <c r="B13" s="4"/>
      <c r="C13" s="1"/>
      <c r="D13" s="2"/>
      <c r="J13" s="4" t="s">
        <v>89</v>
      </c>
      <c r="K13" s="19">
        <v>28</v>
      </c>
      <c r="L13" s="18"/>
      <c r="M13" s="23"/>
    </row>
    <row r="14" spans="2:13" x14ac:dyDescent="0.3">
      <c r="B14" s="4"/>
      <c r="C14" s="1"/>
      <c r="D14" s="2"/>
      <c r="J14" s="4" t="s">
        <v>90</v>
      </c>
      <c r="K14" s="19">
        <f>PI()/4*(K13*25.4/1000)^2</f>
        <v>0.39725866361243817</v>
      </c>
      <c r="L14" s="18"/>
      <c r="M14" s="23"/>
    </row>
    <row r="15" spans="2:13" x14ac:dyDescent="0.3">
      <c r="B15" s="4"/>
      <c r="C15" s="1"/>
      <c r="D15" s="2"/>
      <c r="J15" s="4" t="s">
        <v>91</v>
      </c>
      <c r="K15" s="19">
        <f>(C5+D5)/((C5/C6)+(D5/D6))</f>
        <v>20.399571381805686</v>
      </c>
      <c r="L15" s="18"/>
      <c r="M15" s="23"/>
    </row>
    <row r="16" spans="2:13" x14ac:dyDescent="0.3">
      <c r="B16" s="4"/>
      <c r="C16" s="1"/>
      <c r="D16" s="2"/>
      <c r="J16" s="4" t="s">
        <v>92</v>
      </c>
      <c r="K16" s="19">
        <f xml:space="preserve"> (C5+D5)/K15/K14/3600</f>
        <v>10.640273076435774</v>
      </c>
      <c r="L16" s="18"/>
      <c r="M16" s="23"/>
    </row>
    <row r="17" spans="2:13" x14ac:dyDescent="0.3">
      <c r="B17" s="4"/>
      <c r="C17" s="1"/>
      <c r="D17" s="2"/>
      <c r="J17" s="4" t="s">
        <v>93</v>
      </c>
      <c r="K17" s="19">
        <f>K15*(K16^2)</f>
        <v>2309.5458610938381</v>
      </c>
      <c r="L17" s="18"/>
      <c r="M17" s="23"/>
    </row>
    <row r="18" spans="2:13" ht="15" thickBot="1" x14ac:dyDescent="0.35">
      <c r="J18" s="4" t="s">
        <v>94</v>
      </c>
      <c r="K18" s="19">
        <f>D6*((D5/D6/3600/K14)^2)</f>
        <v>2286.0120929344384</v>
      </c>
      <c r="L18" s="18"/>
      <c r="M18" s="23"/>
    </row>
    <row r="19" spans="2:13" ht="15" thickTop="1" x14ac:dyDescent="0.3">
      <c r="D19" s="10" t="s">
        <v>4</v>
      </c>
      <c r="J19" s="22" t="s">
        <v>88</v>
      </c>
      <c r="K19" s="1" t="s">
        <v>97</v>
      </c>
      <c r="L19" s="1"/>
      <c r="M19" s="23"/>
    </row>
    <row r="20" spans="2:13" x14ac:dyDescent="0.3">
      <c r="C20" s="4" t="s">
        <v>2</v>
      </c>
      <c r="D20" s="1" t="s">
        <v>9</v>
      </c>
      <c r="J20" s="4" t="s">
        <v>89</v>
      </c>
      <c r="K20" s="19">
        <v>30</v>
      </c>
      <c r="L20" s="18"/>
      <c r="M20" s="23"/>
    </row>
    <row r="21" spans="2:13" x14ac:dyDescent="0.3">
      <c r="C21" s="4" t="s">
        <v>24</v>
      </c>
      <c r="D21" s="1">
        <v>1700</v>
      </c>
      <c r="J21" s="4" t="s">
        <v>90</v>
      </c>
      <c r="K21" s="20">
        <f>PI()/4*(K20*25.4/1000)^2</f>
        <v>0.45603673118774801</v>
      </c>
      <c r="L21" s="18"/>
      <c r="M21" s="23"/>
    </row>
    <row r="22" spans="2:13" x14ac:dyDescent="0.3">
      <c r="C22" s="4" t="s">
        <v>5</v>
      </c>
      <c r="D22" s="1">
        <v>3800</v>
      </c>
      <c r="J22" s="4" t="s">
        <v>82</v>
      </c>
      <c r="K22" s="20">
        <f>D5/D6/3600/K21</f>
        <v>9.266956624862031</v>
      </c>
      <c r="L22" s="18"/>
      <c r="M22" s="23"/>
    </row>
    <row r="23" spans="2:13" x14ac:dyDescent="0.3">
      <c r="C23" s="4" t="s">
        <v>6</v>
      </c>
      <c r="D23" s="1" t="s">
        <v>37</v>
      </c>
      <c r="J23" s="4"/>
      <c r="K23" s="21"/>
      <c r="L23" s="18"/>
      <c r="M23" s="23"/>
    </row>
    <row r="24" spans="2:13" x14ac:dyDescent="0.3">
      <c r="C24" s="4" t="s">
        <v>7</v>
      </c>
      <c r="D24" s="1" t="s">
        <v>26</v>
      </c>
      <c r="J24" s="4"/>
      <c r="K24" s="21"/>
      <c r="L24" s="23"/>
      <c r="M24" s="23"/>
    </row>
    <row r="25" spans="2:13" x14ac:dyDescent="0.3">
      <c r="C25" s="4" t="s">
        <v>8</v>
      </c>
      <c r="D25" s="1" t="s">
        <v>26</v>
      </c>
      <c r="J25" s="4" t="s">
        <v>94</v>
      </c>
      <c r="K25" s="21">
        <f>D6*((D5/D6/3600/K21)^2)</f>
        <v>1734.7049987589005</v>
      </c>
      <c r="L25" s="23"/>
      <c r="M25" s="23"/>
    </row>
    <row r="26" spans="2:13" x14ac:dyDescent="0.3">
      <c r="C26" s="4" t="s">
        <v>10</v>
      </c>
      <c r="D26" s="1">
        <v>150</v>
      </c>
      <c r="J26" s="22" t="s">
        <v>88</v>
      </c>
      <c r="K26" s="24" t="s">
        <v>0</v>
      </c>
      <c r="L26" s="24"/>
      <c r="M26" s="23"/>
    </row>
    <row r="27" spans="2:13" x14ac:dyDescent="0.3">
      <c r="C27" s="4" t="s">
        <v>11</v>
      </c>
      <c r="D27" s="1"/>
      <c r="J27" s="4" t="s">
        <v>89</v>
      </c>
      <c r="K27" s="21">
        <v>2</v>
      </c>
      <c r="L27" s="23"/>
      <c r="M27" s="23"/>
    </row>
    <row r="28" spans="2:13" x14ac:dyDescent="0.3">
      <c r="C28" s="4" t="s">
        <v>12</v>
      </c>
      <c r="D28" s="1"/>
      <c r="J28" s="4" t="s">
        <v>90</v>
      </c>
      <c r="K28" s="21">
        <f>PI()/4*(K27*25.4/1000)^2</f>
        <v>2.0268299163899908E-3</v>
      </c>
      <c r="L28" s="23"/>
      <c r="M28" s="23"/>
    </row>
    <row r="29" spans="2:13" x14ac:dyDescent="0.3">
      <c r="C29" s="4" t="s">
        <v>13</v>
      </c>
      <c r="D29" s="1">
        <v>800</v>
      </c>
      <c r="J29" s="4" t="s">
        <v>98</v>
      </c>
      <c r="K29" s="21">
        <f>C5/C6/3600/K28</f>
        <v>0.42828238745442382</v>
      </c>
      <c r="L29" s="23"/>
      <c r="M29" s="23"/>
    </row>
    <row r="30" spans="2:13" x14ac:dyDescent="0.3">
      <c r="C30" s="4" t="s">
        <v>15</v>
      </c>
      <c r="D30" s="1" t="s">
        <v>59</v>
      </c>
      <c r="J30" s="22" t="s">
        <v>99</v>
      </c>
      <c r="K30" s="24"/>
      <c r="L30" s="24"/>
      <c r="M30" s="23"/>
    </row>
    <row r="31" spans="2:13" x14ac:dyDescent="0.3">
      <c r="C31" s="4" t="s">
        <v>14</v>
      </c>
      <c r="D31" s="1"/>
      <c r="J31" s="4" t="s">
        <v>72</v>
      </c>
      <c r="K31" s="21">
        <v>150</v>
      </c>
      <c r="L31" s="23"/>
      <c r="M31" s="23"/>
    </row>
    <row r="32" spans="2:13" x14ac:dyDescent="0.3">
      <c r="C32" s="4" t="s">
        <v>15</v>
      </c>
      <c r="D32" s="1" t="s">
        <v>28</v>
      </c>
      <c r="J32" s="4" t="s">
        <v>71</v>
      </c>
      <c r="K32" s="21">
        <f>ROUNDUP(MAX(150,2*C5/C6/60/(PI()/4*K9^2)*1000),0)</f>
        <v>150</v>
      </c>
      <c r="L32" s="23"/>
      <c r="M32" s="23"/>
    </row>
    <row r="33" spans="3:13" x14ac:dyDescent="0.3">
      <c r="C33" s="4" t="s">
        <v>60</v>
      </c>
      <c r="D33" s="1" t="s">
        <v>61</v>
      </c>
      <c r="J33" s="4" t="s">
        <v>70</v>
      </c>
      <c r="K33" s="21">
        <f>ROUNDUP(MAX(150,4*C5/C6/60/(PI()/4*K9^2)*1000),0)</f>
        <v>150</v>
      </c>
      <c r="L33" s="23"/>
      <c r="M33" s="23"/>
    </row>
    <row r="34" spans="3:13" x14ac:dyDescent="0.3">
      <c r="C34" s="4" t="s">
        <v>62</v>
      </c>
      <c r="D34" s="14">
        <v>0.98</v>
      </c>
      <c r="J34" s="4" t="s">
        <v>69</v>
      </c>
      <c r="K34" s="21">
        <f>ROUNDUP(MAX(200,2*C5/C6/60/(PI()/4*K9^2)*1000),0)</f>
        <v>200</v>
      </c>
      <c r="L34" s="23"/>
      <c r="M34" s="23"/>
    </row>
    <row r="35" spans="3:13" x14ac:dyDescent="0.3">
      <c r="C35" s="4" t="s">
        <v>63</v>
      </c>
      <c r="D35" s="1">
        <v>50</v>
      </c>
      <c r="J35" s="4" t="s">
        <v>68</v>
      </c>
      <c r="K35" s="21">
        <f>400+K13*25.4/2</f>
        <v>755.59999999999991</v>
      </c>
      <c r="L35" s="23"/>
      <c r="M35" s="23"/>
    </row>
    <row r="36" spans="3:13" x14ac:dyDescent="0.3">
      <c r="C36" s="4" t="s">
        <v>31</v>
      </c>
      <c r="D36" s="1"/>
      <c r="J36" s="4" t="s">
        <v>67</v>
      </c>
      <c r="K36" s="21">
        <f>MAX(0.5*K10*1000,600)</f>
        <v>2591.6579107481662</v>
      </c>
      <c r="L36" s="23"/>
      <c r="M36" s="23"/>
    </row>
    <row r="37" spans="3:13" x14ac:dyDescent="0.3">
      <c r="C37" s="4" t="s">
        <v>32</v>
      </c>
      <c r="D37" s="1"/>
      <c r="J37" s="4" t="s">
        <v>66</v>
      </c>
      <c r="K37" s="21">
        <v>150</v>
      </c>
      <c r="L37" s="23"/>
      <c r="M37" s="23"/>
    </row>
    <row r="38" spans="3:13" x14ac:dyDescent="0.3">
      <c r="C38" s="4" t="s">
        <v>33</v>
      </c>
      <c r="D38" s="1">
        <v>100</v>
      </c>
      <c r="J38" s="4" t="s">
        <v>65</v>
      </c>
      <c r="K38" s="21">
        <f>MAX(0.15*K10*1000,400)</f>
        <v>777.49737322444992</v>
      </c>
      <c r="L38" s="23"/>
      <c r="M38" s="23"/>
    </row>
    <row r="39" spans="3:13" x14ac:dyDescent="0.3">
      <c r="C39" s="4"/>
      <c r="D39" s="1"/>
      <c r="J39" s="4" t="s">
        <v>100</v>
      </c>
      <c r="K39" s="21">
        <f>SUM(K31:K38)</f>
        <v>4924.7552839726159</v>
      </c>
      <c r="L39" s="23"/>
      <c r="M39" s="23"/>
    </row>
    <row r="40" spans="3:13" x14ac:dyDescent="0.3">
      <c r="C40" s="4"/>
      <c r="D40" s="1"/>
      <c r="J40" s="4" t="s">
        <v>64</v>
      </c>
      <c r="K40" s="21">
        <f>K39*0.001/K10</f>
        <v>0.95011676956835045</v>
      </c>
      <c r="L40" s="23"/>
      <c r="M40" s="23"/>
    </row>
    <row r="41" spans="3:13" x14ac:dyDescent="0.3">
      <c r="C41" s="4"/>
      <c r="D41" s="1"/>
      <c r="J41" s="22" t="s">
        <v>99</v>
      </c>
      <c r="K41" s="17"/>
      <c r="L41" s="17"/>
    </row>
    <row r="42" spans="3:13" x14ac:dyDescent="0.3">
      <c r="C42" s="4"/>
      <c r="D42" s="1"/>
      <c r="J42" s="25" t="s">
        <v>101</v>
      </c>
    </row>
    <row r="43" spans="3:13" x14ac:dyDescent="0.3">
      <c r="C43" s="4"/>
      <c r="D43" s="14"/>
      <c r="J43" s="25" t="s">
        <v>102</v>
      </c>
    </row>
    <row r="44" spans="3:13" x14ac:dyDescent="0.3">
      <c r="C44" s="4"/>
      <c r="D44" s="1"/>
      <c r="J44" s="25" t="s">
        <v>103</v>
      </c>
    </row>
    <row r="45" spans="3:13" x14ac:dyDescent="0.3">
      <c r="C45" s="4"/>
      <c r="D45" s="1"/>
      <c r="J45" s="25" t="s">
        <v>104</v>
      </c>
    </row>
    <row r="46" spans="3:13" x14ac:dyDescent="0.3">
      <c r="C46" s="4"/>
      <c r="D46" s="1"/>
      <c r="J46" s="25" t="s">
        <v>105</v>
      </c>
    </row>
    <row r="47" spans="3:13" x14ac:dyDescent="0.3">
      <c r="C47" s="4"/>
      <c r="D47" s="1"/>
      <c r="J47" s="25" t="s">
        <v>106</v>
      </c>
    </row>
    <row r="48" spans="3:13" x14ac:dyDescent="0.3">
      <c r="C48" s="4"/>
      <c r="D48" s="11" t="s">
        <v>23</v>
      </c>
      <c r="J48" s="25" t="s">
        <v>107</v>
      </c>
    </row>
    <row r="49" spans="3:4" x14ac:dyDescent="0.3">
      <c r="C49" s="4"/>
      <c r="D49" s="11"/>
    </row>
    <row r="50" spans="3:4" x14ac:dyDescent="0.3">
      <c r="C50" s="3"/>
      <c r="D50" s="11"/>
    </row>
    <row r="51" spans="3:4" x14ac:dyDescent="0.3">
      <c r="C51" s="3"/>
      <c r="D51" s="11"/>
    </row>
    <row r="52" spans="3:4" x14ac:dyDescent="0.3">
      <c r="C52" s="3"/>
      <c r="D52" s="11"/>
    </row>
    <row r="53" spans="3:4" x14ac:dyDescent="0.3">
      <c r="C53" s="3"/>
      <c r="D53" s="11"/>
    </row>
    <row r="54" spans="3:4" x14ac:dyDescent="0.3">
      <c r="D54" s="11"/>
    </row>
    <row r="55" spans="3:4" x14ac:dyDescent="0.3">
      <c r="D55" s="11"/>
    </row>
    <row r="56" spans="3:4" x14ac:dyDescent="0.3">
      <c r="D56" s="11"/>
    </row>
    <row r="57" spans="3:4" x14ac:dyDescent="0.3">
      <c r="D57" s="11"/>
    </row>
    <row r="58" spans="3:4" x14ac:dyDescent="0.3">
      <c r="D58" s="11"/>
    </row>
    <row r="59" spans="3:4" x14ac:dyDescent="0.3">
      <c r="D59" s="11"/>
    </row>
    <row r="60" spans="3:4" x14ac:dyDescent="0.3">
      <c r="D60" s="11"/>
    </row>
  </sheetData>
  <phoneticPr fontId="14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8ADB1-AF2D-4FD7-9616-CFA76FAD1EC8}">
  <dimension ref="C2:J26"/>
  <sheetViews>
    <sheetView workbookViewId="0">
      <selection activeCell="H23" sqref="H23"/>
    </sheetView>
  </sheetViews>
  <sheetFormatPr defaultRowHeight="14.4" x14ac:dyDescent="0.3"/>
  <cols>
    <col min="2" max="2" width="22" customWidth="1"/>
    <col min="3" max="3" width="23" customWidth="1"/>
    <col min="4" max="4" width="20.33203125" customWidth="1"/>
    <col min="5" max="5" width="13.6640625" customWidth="1"/>
    <col min="7" max="7" width="16.44140625" customWidth="1"/>
    <col min="8" max="8" width="14.33203125" customWidth="1"/>
    <col min="10" max="10" width="12.44140625" customWidth="1"/>
  </cols>
  <sheetData>
    <row r="2" spans="3:10" x14ac:dyDescent="0.3">
      <c r="G2" t="s">
        <v>178</v>
      </c>
      <c r="J2" t="s">
        <v>179</v>
      </c>
    </row>
    <row r="3" spans="3:10" ht="15" thickBot="1" x14ac:dyDescent="0.35"/>
    <row r="4" spans="3:10" ht="15.6" thickTop="1" thickBot="1" x14ac:dyDescent="0.35">
      <c r="C4" s="8"/>
      <c r="D4" s="9" t="s">
        <v>3</v>
      </c>
      <c r="E4" s="8"/>
      <c r="G4" t="s">
        <v>161</v>
      </c>
      <c r="H4">
        <f>E6/E7/3600</f>
        <v>0.18700396825396823</v>
      </c>
    </row>
    <row r="5" spans="3:10" ht="15" thickTop="1" x14ac:dyDescent="0.3">
      <c r="C5" s="5" t="s">
        <v>2</v>
      </c>
      <c r="D5" s="6" t="s">
        <v>0</v>
      </c>
      <c r="E5" s="7" t="s">
        <v>1</v>
      </c>
      <c r="G5" t="s">
        <v>162</v>
      </c>
      <c r="H5">
        <f>D6/D7/60</f>
        <v>7.4101449275362326</v>
      </c>
    </row>
    <row r="6" spans="3:10" x14ac:dyDescent="0.3">
      <c r="C6" s="4" t="s">
        <v>16</v>
      </c>
      <c r="D6" s="1">
        <v>419266</v>
      </c>
      <c r="E6" s="2">
        <v>754</v>
      </c>
      <c r="G6" t="s">
        <v>163</v>
      </c>
      <c r="H6">
        <f>0.21*SQRT((D7-E7)/E7)</f>
        <v>6.0898706882823053</v>
      </c>
    </row>
    <row r="7" spans="3:10" x14ac:dyDescent="0.3">
      <c r="C7" s="4" t="s">
        <v>22</v>
      </c>
      <c r="D7" s="1">
        <v>943</v>
      </c>
      <c r="E7" s="2">
        <v>1.1200000000000001</v>
      </c>
      <c r="G7" t="s">
        <v>132</v>
      </c>
      <c r="H7">
        <f>0.75*H6</f>
        <v>4.5674030162117294</v>
      </c>
    </row>
    <row r="8" spans="3:10" x14ac:dyDescent="0.3">
      <c r="C8" s="4" t="s">
        <v>17</v>
      </c>
      <c r="D8" s="1"/>
      <c r="E8" s="2"/>
      <c r="G8" t="s">
        <v>164</v>
      </c>
      <c r="H8">
        <f>15*H5</f>
        <v>111.15217391304348</v>
      </c>
    </row>
    <row r="9" spans="3:10" x14ac:dyDescent="0.3">
      <c r="C9" s="4" t="s">
        <v>18</v>
      </c>
      <c r="D9" s="1"/>
      <c r="E9" s="2"/>
      <c r="G9" t="s">
        <v>165</v>
      </c>
      <c r="H9">
        <v>0</v>
      </c>
    </row>
    <row r="10" spans="3:10" x14ac:dyDescent="0.3">
      <c r="C10" s="4" t="s">
        <v>19</v>
      </c>
      <c r="D10" s="1"/>
      <c r="E10" s="2"/>
      <c r="G10" t="s">
        <v>64</v>
      </c>
      <c r="H10">
        <v>3</v>
      </c>
    </row>
    <row r="11" spans="3:10" x14ac:dyDescent="0.3">
      <c r="C11" s="4" t="s">
        <v>20</v>
      </c>
      <c r="D11" s="1"/>
      <c r="E11" s="2"/>
      <c r="G11" t="s">
        <v>166</v>
      </c>
      <c r="H11">
        <f>(4*(H8+H9)/(3.14*0.6*H10))^(1/3)</f>
        <v>4.2847478190869142</v>
      </c>
    </row>
    <row r="12" spans="3:10" x14ac:dyDescent="0.3">
      <c r="C12" s="4" t="s">
        <v>21</v>
      </c>
      <c r="D12" s="1"/>
      <c r="E12" s="2"/>
      <c r="G12" t="s">
        <v>167</v>
      </c>
      <c r="H12">
        <f>3.14*H11*H11/4</f>
        <v>14.411865140438502</v>
      </c>
    </row>
    <row r="13" spans="3:10" x14ac:dyDescent="0.3">
      <c r="C13" s="4"/>
      <c r="D13" s="1"/>
      <c r="E13" s="2"/>
      <c r="G13" t="s">
        <v>168</v>
      </c>
      <c r="H13">
        <v>0.67500000000000004</v>
      </c>
    </row>
    <row r="14" spans="3:10" x14ac:dyDescent="0.3">
      <c r="C14" s="4"/>
      <c r="D14" s="1"/>
      <c r="E14" s="2"/>
      <c r="G14" t="s">
        <v>169</v>
      </c>
      <c r="H14">
        <f>H13/H11</f>
        <v>0.15753552565990769</v>
      </c>
    </row>
    <row r="15" spans="3:10" x14ac:dyDescent="0.3">
      <c r="C15" s="4"/>
      <c r="D15" s="1"/>
      <c r="E15" s="2"/>
      <c r="G15" s="36" t="s">
        <v>120</v>
      </c>
      <c r="H15">
        <f>2*ACOS(1-2*H14)</f>
        <v>1.6325802973827865</v>
      </c>
    </row>
    <row r="16" spans="3:10" x14ac:dyDescent="0.3">
      <c r="C16" s="4"/>
      <c r="D16" s="1"/>
      <c r="E16" s="2"/>
      <c r="G16" t="s">
        <v>170</v>
      </c>
      <c r="H16">
        <f>(H15-SIN(H15))/2/PI()</f>
        <v>0.10098195243444349</v>
      </c>
    </row>
    <row r="17" spans="3:8" x14ac:dyDescent="0.3">
      <c r="C17" s="4"/>
      <c r="D17" s="1"/>
      <c r="E17" s="2"/>
      <c r="G17" t="s">
        <v>171</v>
      </c>
      <c r="H17">
        <f>H16*H12</f>
        <v>1.4553382801033752</v>
      </c>
    </row>
    <row r="18" spans="3:8" x14ac:dyDescent="0.3">
      <c r="C18" s="4"/>
      <c r="D18" s="1"/>
      <c r="E18" s="2"/>
      <c r="G18" t="s">
        <v>129</v>
      </c>
      <c r="H18">
        <v>0.30480000000000002</v>
      </c>
    </row>
    <row r="19" spans="3:8" x14ac:dyDescent="0.3">
      <c r="G19" t="s">
        <v>172</v>
      </c>
      <c r="H19">
        <f>H18/H11</f>
        <v>7.1136041809096093E-2</v>
      </c>
    </row>
    <row r="20" spans="3:8" x14ac:dyDescent="0.3">
      <c r="G20" s="36" t="s">
        <v>120</v>
      </c>
      <c r="H20">
        <f>2*ACOS(1-2*H19)</f>
        <v>1.0799251730336046</v>
      </c>
    </row>
    <row r="21" spans="3:8" x14ac:dyDescent="0.3">
      <c r="G21" t="s">
        <v>173</v>
      </c>
      <c r="H21">
        <f>(H20-SIN(H20))/2/PI()</f>
        <v>3.1513098374341172E-2</v>
      </c>
    </row>
    <row r="22" spans="3:8" x14ac:dyDescent="0.3">
      <c r="G22" t="s">
        <v>131</v>
      </c>
      <c r="H22">
        <f>H21*H12</f>
        <v>0.4541625239283768</v>
      </c>
    </row>
    <row r="23" spans="3:8" x14ac:dyDescent="0.3">
      <c r="G23" t="s">
        <v>114</v>
      </c>
      <c r="H23">
        <f>(H8+H9)/(H12-H22-H17)</f>
        <v>8.8904923038732395</v>
      </c>
    </row>
    <row r="24" spans="3:8" x14ac:dyDescent="0.3">
      <c r="G24" t="s">
        <v>130</v>
      </c>
      <c r="H24">
        <f>H18/H7</f>
        <v>6.6733765099801848E-2</v>
      </c>
    </row>
    <row r="25" spans="3:8" x14ac:dyDescent="0.3">
      <c r="G25" t="s">
        <v>174</v>
      </c>
      <c r="H25">
        <f>H4/H18</f>
        <v>0.61353007957338657</v>
      </c>
    </row>
    <row r="26" spans="3:8" x14ac:dyDescent="0.3">
      <c r="G26" t="s">
        <v>133</v>
      </c>
      <c r="H26">
        <f>H24*H25</f>
        <v>4.0943172211913112E-2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5:C6"/>
  <sheetViews>
    <sheetView workbookViewId="0">
      <selection activeCell="C6" sqref="C6"/>
    </sheetView>
  </sheetViews>
  <sheetFormatPr defaultRowHeight="14.4" x14ac:dyDescent="0.3"/>
  <cols>
    <col min="3" max="3" width="10" bestFit="1" customWidth="1"/>
  </cols>
  <sheetData>
    <row r="5" spans="2:3" x14ac:dyDescent="0.3">
      <c r="B5" t="s">
        <v>148</v>
      </c>
      <c r="C5">
        <f xml:space="preserve"> (1.31)*(10000000)*(9.47)*((0.00025)^3)*(909-9.47)/((0.173)^2)</f>
        <v>58.259230809791518</v>
      </c>
    </row>
    <row r="6" spans="2:3" x14ac:dyDescent="0.3">
      <c r="B6" t="s">
        <v>149</v>
      </c>
      <c r="C6">
        <f>SQRT(4*(9.81)*(0.00025)/(54))</f>
        <v>1.3478377746103819E-2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H52"/>
  <sheetViews>
    <sheetView workbookViewId="0">
      <selection activeCell="H11" sqref="H11"/>
    </sheetView>
  </sheetViews>
  <sheetFormatPr defaultRowHeight="14.4" x14ac:dyDescent="0.3"/>
  <cols>
    <col min="3" max="3" width="26.109375" customWidth="1"/>
    <col min="4" max="4" width="18.33203125" customWidth="1"/>
    <col min="5" max="5" width="18.44140625" customWidth="1"/>
  </cols>
  <sheetData>
    <row r="2" spans="3:8" ht="15" thickBot="1" x14ac:dyDescent="0.35"/>
    <row r="3" spans="3:8" ht="15.6" thickTop="1" thickBot="1" x14ac:dyDescent="0.35">
      <c r="C3" s="8"/>
      <c r="D3" s="9" t="s">
        <v>3</v>
      </c>
      <c r="E3" s="8"/>
    </row>
    <row r="4" spans="3:8" ht="15" thickTop="1" x14ac:dyDescent="0.3">
      <c r="C4" s="5" t="s">
        <v>2</v>
      </c>
      <c r="D4" s="6" t="s">
        <v>0</v>
      </c>
      <c r="E4" s="7" t="s">
        <v>1</v>
      </c>
      <c r="G4" t="s">
        <v>161</v>
      </c>
      <c r="H4" t="e">
        <f>E5/E6/3600</f>
        <v>#DIV/0!</v>
      </c>
    </row>
    <row r="5" spans="3:8" x14ac:dyDescent="0.3">
      <c r="C5" s="4" t="s">
        <v>16</v>
      </c>
      <c r="D5" s="1">
        <v>10050</v>
      </c>
      <c r="E5" s="2"/>
      <c r="G5" t="s">
        <v>162</v>
      </c>
      <c r="H5">
        <f>Table1814172026325[[#This Row],[INLET]]/D6/60</f>
        <v>5.0719264892268692</v>
      </c>
    </row>
    <row r="6" spans="3:8" x14ac:dyDescent="0.3">
      <c r="C6" s="4" t="s">
        <v>22</v>
      </c>
      <c r="D6" s="1">
        <v>789</v>
      </c>
      <c r="E6" s="2"/>
      <c r="G6" t="s">
        <v>163</v>
      </c>
      <c r="H6" t="e">
        <f>0.05*SQRT((Table1814172026325[[#This Row],[INLET]]-E6)/E6)</f>
        <v>#DIV/0!</v>
      </c>
    </row>
    <row r="7" spans="3:8" x14ac:dyDescent="0.3">
      <c r="C7" s="4" t="s">
        <v>17</v>
      </c>
      <c r="D7" s="1"/>
      <c r="E7" s="2"/>
      <c r="G7" t="s">
        <v>132</v>
      </c>
      <c r="H7" t="e">
        <f>0.75*H6</f>
        <v>#DIV/0!</v>
      </c>
    </row>
    <row r="8" spans="3:8" x14ac:dyDescent="0.3">
      <c r="C8" s="4" t="s">
        <v>18</v>
      </c>
      <c r="D8" s="1">
        <v>257</v>
      </c>
      <c r="E8" s="2"/>
      <c r="G8" t="s">
        <v>164</v>
      </c>
      <c r="H8">
        <f>2*H5</f>
        <v>10.143852978453738</v>
      </c>
    </row>
    <row r="9" spans="3:8" x14ac:dyDescent="0.3">
      <c r="C9" s="4" t="s">
        <v>19</v>
      </c>
      <c r="D9" s="1">
        <v>43.5</v>
      </c>
      <c r="E9" s="2"/>
      <c r="G9" t="s">
        <v>165</v>
      </c>
      <c r="H9">
        <f>1*H5</f>
        <v>5.0719264892268692</v>
      </c>
    </row>
    <row r="10" spans="3:8" x14ac:dyDescent="0.3">
      <c r="C10" s="4" t="s">
        <v>20</v>
      </c>
      <c r="D10" s="1">
        <v>290</v>
      </c>
      <c r="E10" s="2"/>
      <c r="G10" t="s">
        <v>64</v>
      </c>
      <c r="H10">
        <v>3</v>
      </c>
    </row>
    <row r="11" spans="3:8" x14ac:dyDescent="0.3">
      <c r="C11" s="4" t="s">
        <v>21</v>
      </c>
      <c r="D11" s="1">
        <v>52</v>
      </c>
      <c r="E11" s="2"/>
      <c r="G11" t="s">
        <v>166</v>
      </c>
      <c r="H11">
        <f>(4*(H8+H9)/(3.14*0.6*H10))^(1/3)</f>
        <v>2.2082624167429881</v>
      </c>
    </row>
    <row r="12" spans="3:8" x14ac:dyDescent="0.3">
      <c r="C12" s="4"/>
      <c r="D12" s="1" t="s">
        <v>45</v>
      </c>
      <c r="E12" s="2"/>
      <c r="G12" t="s">
        <v>167</v>
      </c>
      <c r="H12">
        <f>3.14*H11*H11/4</f>
        <v>3.8279919774416724</v>
      </c>
    </row>
    <row r="13" spans="3:8" x14ac:dyDescent="0.3">
      <c r="C13" s="4"/>
      <c r="D13" s="1"/>
      <c r="E13" s="2"/>
      <c r="G13" t="s">
        <v>168</v>
      </c>
      <c r="H13">
        <v>0.72499999999999998</v>
      </c>
    </row>
    <row r="14" spans="3:8" x14ac:dyDescent="0.3">
      <c r="C14" s="4"/>
      <c r="D14" s="1"/>
      <c r="E14" s="2"/>
      <c r="G14" t="s">
        <v>169</v>
      </c>
      <c r="H14">
        <f>H13/H11</f>
        <v>0.32831242994630933</v>
      </c>
    </row>
    <row r="15" spans="3:8" x14ac:dyDescent="0.3">
      <c r="C15" s="4"/>
      <c r="D15" s="1"/>
      <c r="E15" s="2"/>
      <c r="G15" s="36" t="s">
        <v>120</v>
      </c>
      <c r="H15">
        <f>2*ACOS(1-2*H14)</f>
        <v>2.4405762796983486</v>
      </c>
    </row>
    <row r="16" spans="3:8" x14ac:dyDescent="0.3">
      <c r="C16" s="4"/>
      <c r="D16" s="1"/>
      <c r="E16" s="2"/>
      <c r="G16" t="s">
        <v>170</v>
      </c>
      <c r="H16">
        <f>(H15-SIN(H15))/2/PI()</f>
        <v>0.28577568095214984</v>
      </c>
    </row>
    <row r="17" spans="3:8" x14ac:dyDescent="0.3">
      <c r="C17" s="4"/>
      <c r="D17" s="1"/>
      <c r="E17" s="2"/>
      <c r="G17" t="s">
        <v>171</v>
      </c>
      <c r="H17">
        <f>H16*H12</f>
        <v>1.0939470140327605</v>
      </c>
    </row>
    <row r="18" spans="3:8" ht="15" thickBot="1" x14ac:dyDescent="0.35">
      <c r="G18" t="s">
        <v>129</v>
      </c>
      <c r="H18">
        <v>0.30480000000000002</v>
      </c>
    </row>
    <row r="19" spans="3:8" ht="15" thickTop="1" x14ac:dyDescent="0.3">
      <c r="D19" s="10" t="s">
        <v>4</v>
      </c>
      <c r="G19" t="s">
        <v>172</v>
      </c>
      <c r="H19">
        <f>H18/H11</f>
        <v>0.13802707399673805</v>
      </c>
    </row>
    <row r="20" spans="3:8" x14ac:dyDescent="0.3">
      <c r="C20" s="4" t="s">
        <v>2</v>
      </c>
      <c r="D20" s="1" t="s">
        <v>9</v>
      </c>
      <c r="G20" s="36" t="s">
        <v>120</v>
      </c>
      <c r="H20">
        <f>2*ACOS(1-2*H19)</f>
        <v>1.5225824562126515</v>
      </c>
    </row>
    <row r="21" spans="3:8" x14ac:dyDescent="0.3">
      <c r="C21" s="4" t="s">
        <v>24</v>
      </c>
      <c r="D21" s="1">
        <v>700</v>
      </c>
      <c r="G21" t="s">
        <v>173</v>
      </c>
      <c r="H21">
        <f>(H20-SIN(H20))/2/PI()</f>
        <v>8.3356529233254484E-2</v>
      </c>
    </row>
    <row r="22" spans="3:8" x14ac:dyDescent="0.3">
      <c r="C22" s="4" t="s">
        <v>5</v>
      </c>
      <c r="D22" s="1">
        <v>3275</v>
      </c>
      <c r="G22" t="s">
        <v>131</v>
      </c>
      <c r="H22">
        <f>H21*H12</f>
        <v>0.31908812517228041</v>
      </c>
    </row>
    <row r="23" spans="3:8" x14ac:dyDescent="0.3">
      <c r="C23" s="4" t="s">
        <v>6</v>
      </c>
      <c r="D23" s="1" t="s">
        <v>37</v>
      </c>
      <c r="G23" t="s">
        <v>114</v>
      </c>
      <c r="H23">
        <f>(H8+H9)/(H12-H22-H17)</f>
        <v>6.3006424076676106</v>
      </c>
    </row>
    <row r="24" spans="3:8" x14ac:dyDescent="0.3">
      <c r="C24" s="4" t="s">
        <v>7</v>
      </c>
      <c r="D24" s="1" t="s">
        <v>26</v>
      </c>
      <c r="G24" t="s">
        <v>130</v>
      </c>
      <c r="H24" t="e">
        <f>H18/H7</f>
        <v>#DIV/0!</v>
      </c>
    </row>
    <row r="25" spans="3:8" x14ac:dyDescent="0.3">
      <c r="C25" s="4" t="s">
        <v>8</v>
      </c>
      <c r="D25" s="1" t="s">
        <v>26</v>
      </c>
      <c r="G25" t="s">
        <v>174</v>
      </c>
      <c r="H25" t="e">
        <f>H4/H22</f>
        <v>#DIV/0!</v>
      </c>
    </row>
    <row r="26" spans="3:8" x14ac:dyDescent="0.3">
      <c r="C26" s="4" t="s">
        <v>10</v>
      </c>
      <c r="D26" s="1">
        <v>500</v>
      </c>
      <c r="G26" t="s">
        <v>133</v>
      </c>
      <c r="H26" t="e">
        <f>H24*H25</f>
        <v>#DIV/0!</v>
      </c>
    </row>
    <row r="27" spans="3:8" x14ac:dyDescent="0.3">
      <c r="C27" s="4" t="s">
        <v>11</v>
      </c>
      <c r="D27" s="1">
        <v>1075</v>
      </c>
    </row>
    <row r="28" spans="3:8" x14ac:dyDescent="0.3">
      <c r="C28" s="4" t="s">
        <v>12</v>
      </c>
      <c r="D28" s="1">
        <v>2200</v>
      </c>
    </row>
    <row r="29" spans="3:8" x14ac:dyDescent="0.3">
      <c r="C29" s="4" t="s">
        <v>13</v>
      </c>
      <c r="D29" s="1">
        <v>2775</v>
      </c>
    </row>
    <row r="30" spans="3:8" x14ac:dyDescent="0.3">
      <c r="C30" s="4" t="s">
        <v>14</v>
      </c>
      <c r="D30" s="1"/>
    </row>
    <row r="31" spans="3:8" x14ac:dyDescent="0.3">
      <c r="C31" s="4" t="s">
        <v>15</v>
      </c>
      <c r="D31" s="1" t="s">
        <v>28</v>
      </c>
    </row>
    <row r="32" spans="3:8" x14ac:dyDescent="0.3">
      <c r="C32" s="4" t="s">
        <v>29</v>
      </c>
      <c r="D32" s="1"/>
    </row>
    <row r="33" spans="3:4" x14ac:dyDescent="0.3">
      <c r="C33" s="4" t="s">
        <v>6</v>
      </c>
      <c r="D33" s="1"/>
    </row>
    <row r="34" spans="3:4" x14ac:dyDescent="0.3">
      <c r="C34" s="4" t="s">
        <v>35</v>
      </c>
      <c r="D34" s="1"/>
    </row>
    <row r="35" spans="3:4" x14ac:dyDescent="0.3">
      <c r="C35" s="4" t="s">
        <v>31</v>
      </c>
      <c r="D35" s="1"/>
    </row>
    <row r="36" spans="3:4" x14ac:dyDescent="0.3">
      <c r="C36" s="4" t="s">
        <v>32</v>
      </c>
      <c r="D36" s="1"/>
    </row>
    <row r="37" spans="3:4" x14ac:dyDescent="0.3">
      <c r="C37" s="4" t="s">
        <v>33</v>
      </c>
      <c r="D37" s="1"/>
    </row>
    <row r="38" spans="3:4" x14ac:dyDescent="0.3">
      <c r="C38" s="4" t="s">
        <v>43</v>
      </c>
      <c r="D38" s="1"/>
    </row>
    <row r="39" spans="3:4" x14ac:dyDescent="0.3">
      <c r="C39" s="4"/>
      <c r="D39" s="1"/>
    </row>
    <row r="40" spans="3:4" x14ac:dyDescent="0.3">
      <c r="C40" s="4"/>
      <c r="D40" s="11" t="s">
        <v>23</v>
      </c>
    </row>
    <row r="41" spans="3:4" x14ac:dyDescent="0.3">
      <c r="C41" s="4"/>
      <c r="D41" s="11"/>
    </row>
    <row r="42" spans="3:4" x14ac:dyDescent="0.3">
      <c r="C42" s="4"/>
      <c r="D42" s="11"/>
    </row>
    <row r="43" spans="3:4" x14ac:dyDescent="0.3">
      <c r="C43" s="4"/>
      <c r="D43" s="11"/>
    </row>
    <row r="44" spans="3:4" x14ac:dyDescent="0.3">
      <c r="C44" s="4"/>
      <c r="D44" s="11"/>
    </row>
    <row r="45" spans="3:4" x14ac:dyDescent="0.3">
      <c r="C45" s="4"/>
      <c r="D45" s="11"/>
    </row>
    <row r="46" spans="3:4" x14ac:dyDescent="0.3">
      <c r="C46" s="4"/>
      <c r="D46" s="11"/>
    </row>
    <row r="47" spans="3:4" x14ac:dyDescent="0.3">
      <c r="C47" s="4"/>
      <c r="D47" s="11"/>
    </row>
    <row r="48" spans="3:4" x14ac:dyDescent="0.3">
      <c r="C48" s="4"/>
      <c r="D48" s="11"/>
    </row>
    <row r="49" spans="3:4" x14ac:dyDescent="0.3">
      <c r="C49" s="3"/>
      <c r="D49" s="11"/>
    </row>
    <row r="50" spans="3:4" x14ac:dyDescent="0.3">
      <c r="C50" s="3"/>
      <c r="D50" s="11"/>
    </row>
    <row r="51" spans="3:4" x14ac:dyDescent="0.3">
      <c r="C51" s="3"/>
      <c r="D51" s="11"/>
    </row>
    <row r="52" spans="3:4" x14ac:dyDescent="0.3">
      <c r="C52" s="3"/>
      <c r="D52" s="11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X47"/>
  <sheetViews>
    <sheetView workbookViewId="0">
      <selection activeCell="M14" sqref="M14"/>
    </sheetView>
  </sheetViews>
  <sheetFormatPr defaultRowHeight="14.4" x14ac:dyDescent="0.3"/>
  <cols>
    <col min="2" max="2" width="20.88671875" customWidth="1"/>
    <col min="3" max="3" width="16.33203125" customWidth="1"/>
    <col min="4" max="4" width="14.88671875" customWidth="1"/>
    <col min="10" max="10" width="18.44140625" customWidth="1"/>
    <col min="11" max="11" width="14.6640625" customWidth="1"/>
    <col min="12" max="15" width="13" customWidth="1"/>
    <col min="24" max="24" width="13.109375" customWidth="1"/>
  </cols>
  <sheetData>
    <row r="2" spans="2:15" ht="15" thickBot="1" x14ac:dyDescent="0.35"/>
    <row r="3" spans="2:15" ht="15.6" thickTop="1" thickBot="1" x14ac:dyDescent="0.35">
      <c r="B3" s="8"/>
      <c r="C3" s="9" t="s">
        <v>3</v>
      </c>
      <c r="D3" s="8"/>
      <c r="K3" s="10" t="s">
        <v>79</v>
      </c>
      <c r="L3" s="10" t="s">
        <v>86</v>
      </c>
      <c r="M3" s="34" t="s">
        <v>151</v>
      </c>
      <c r="N3" s="34" t="s">
        <v>152</v>
      </c>
      <c r="O3" s="34" t="s">
        <v>108</v>
      </c>
    </row>
    <row r="4" spans="2:15" ht="15" thickTop="1" x14ac:dyDescent="0.3">
      <c r="B4" s="5" t="s">
        <v>2</v>
      </c>
      <c r="C4" s="6" t="s">
        <v>0</v>
      </c>
      <c r="D4" s="7" t="s">
        <v>1</v>
      </c>
      <c r="E4" t="s">
        <v>156</v>
      </c>
      <c r="F4" t="s">
        <v>151</v>
      </c>
      <c r="G4" t="s">
        <v>152</v>
      </c>
      <c r="H4" t="s">
        <v>108</v>
      </c>
      <c r="J4" s="4" t="s">
        <v>2</v>
      </c>
      <c r="K4" s="19" t="s">
        <v>23</v>
      </c>
      <c r="L4" s="18" t="s">
        <v>23</v>
      </c>
      <c r="M4" s="18" t="s">
        <v>153</v>
      </c>
      <c r="N4" s="18" t="s">
        <v>154</v>
      </c>
      <c r="O4" s="18" t="s">
        <v>155</v>
      </c>
    </row>
    <row r="5" spans="2:15" x14ac:dyDescent="0.3">
      <c r="B5" s="4" t="s">
        <v>16</v>
      </c>
      <c r="C5" s="1">
        <v>24317</v>
      </c>
      <c r="D5" s="2">
        <v>440676</v>
      </c>
      <c r="E5">
        <f>Table1[[#This Row],[INLET]]/C6/60</f>
        <v>0.44881875230712437</v>
      </c>
      <c r="F5">
        <f>E5</f>
        <v>0.44881875230712437</v>
      </c>
      <c r="G5">
        <f>E5</f>
        <v>0.44881875230712437</v>
      </c>
      <c r="H5">
        <f>E5</f>
        <v>0.44881875230712437</v>
      </c>
      <c r="J5" s="4" t="s">
        <v>80</v>
      </c>
      <c r="K5" s="19">
        <f t="shared" ref="K5" si="0">(C6/D6)-1</f>
        <v>91.331288343558285</v>
      </c>
      <c r="L5" s="18">
        <f>Table5122547[[#This Row],[OUTPUT]]</f>
        <v>91.331288343558285</v>
      </c>
      <c r="M5" s="23">
        <f>Table6132948[[#This Row],[OUTPUT]]</f>
        <v>91.331288343558285</v>
      </c>
      <c r="N5" s="23">
        <f>Table6132948[[#This Row],[OUTPUT]]</f>
        <v>91.331288343558285</v>
      </c>
      <c r="O5" s="23">
        <f>Table6132948[[#This Row],[OUTPUT2]]</f>
        <v>91.331288343558285</v>
      </c>
    </row>
    <row r="6" spans="2:15" x14ac:dyDescent="0.3">
      <c r="B6" s="4" t="s">
        <v>22</v>
      </c>
      <c r="C6" s="1">
        <v>903</v>
      </c>
      <c r="D6" s="2">
        <v>9.7799999999999994</v>
      </c>
      <c r="E6">
        <f>3.14*L9*L9/4</f>
        <v>16.050112927259935</v>
      </c>
      <c r="F6">
        <f t="shared" ref="F6:H6" si="1">3.14*M9*M9/4</f>
        <v>11.290424266072504</v>
      </c>
      <c r="G6">
        <f t="shared" si="1"/>
        <v>10.91407679053675</v>
      </c>
      <c r="H6">
        <f t="shared" si="1"/>
        <v>28.471504670965441</v>
      </c>
      <c r="J6" s="4" t="s">
        <v>81</v>
      </c>
      <c r="K6" s="19">
        <v>0.95</v>
      </c>
      <c r="L6" s="18">
        <f>0.048*((Table1[[#This Row],[INLET]]-D6)/D6)^0.5</f>
        <v>0.45872354239079371</v>
      </c>
      <c r="M6" s="23">
        <f>(0.116)*SQRT(M5)</f>
        <v>1.1085818941110848</v>
      </c>
      <c r="N6" s="23">
        <f>(0.16)*SQRT(N5)</f>
        <v>1.5290784746359791</v>
      </c>
      <c r="O6" s="23">
        <f>(0.046)*SQRT(O5)</f>
        <v>0.43961006145784398</v>
      </c>
    </row>
    <row r="7" spans="2:15" x14ac:dyDescent="0.3">
      <c r="B7" s="4" t="s">
        <v>17</v>
      </c>
      <c r="C7" s="1"/>
      <c r="D7" s="2">
        <v>13.17</v>
      </c>
      <c r="E7">
        <f>5*E5/E6</f>
        <v>0.13981794219803861</v>
      </c>
      <c r="F7">
        <f>10*F5/F6</f>
        <v>0.39752160036697259</v>
      </c>
      <c r="G7">
        <f>5*G5/G6</f>
        <v>0.20561462087946866</v>
      </c>
      <c r="H7">
        <f t="shared" ref="H7" si="2">5*H5/H6</f>
        <v>7.8818938003796302E-2</v>
      </c>
      <c r="J7" s="4" t="s">
        <v>82</v>
      </c>
      <c r="K7" s="19">
        <f>K6*0.85</f>
        <v>0.8075</v>
      </c>
      <c r="L7" s="18">
        <f>L6*L11</f>
        <v>0.77983002206434926</v>
      </c>
      <c r="M7" s="23">
        <f>M6</f>
        <v>1.1085818941110848</v>
      </c>
      <c r="N7" s="23">
        <f>N6*0.75</f>
        <v>1.1468088559769845</v>
      </c>
      <c r="O7" s="23">
        <f>O6</f>
        <v>0.43961006145784398</v>
      </c>
    </row>
    <row r="8" spans="2:15" x14ac:dyDescent="0.3">
      <c r="B8" s="4" t="s">
        <v>18</v>
      </c>
      <c r="C8" s="1">
        <v>165</v>
      </c>
      <c r="D8" s="2">
        <v>165</v>
      </c>
      <c r="J8" s="4" t="s">
        <v>83</v>
      </c>
      <c r="K8" s="19">
        <f>D5/D6/3600</f>
        <v>12.516359918200411</v>
      </c>
      <c r="L8" s="18">
        <f>Table5122547[[#This Row],[OUTPUT]]</f>
        <v>12.516359918200411</v>
      </c>
      <c r="M8" s="23">
        <f>Table6132948[[#This Row],[OUTPUT]]</f>
        <v>12.516359918200411</v>
      </c>
      <c r="N8" s="23">
        <f>Table6132948[[#This Row],[OUTPUT]]</f>
        <v>12.516359918200411</v>
      </c>
      <c r="O8" s="23">
        <f>Table6132948[[#This Row],[OUTPUT2]]</f>
        <v>12.516359918200411</v>
      </c>
    </row>
    <row r="9" spans="2:15" x14ac:dyDescent="0.3">
      <c r="B9" s="4" t="s">
        <v>19</v>
      </c>
      <c r="C9" s="1">
        <v>25.8</v>
      </c>
      <c r="D9" s="2">
        <v>25.8</v>
      </c>
      <c r="J9" s="4" t="s">
        <v>84</v>
      </c>
      <c r="K9" s="19">
        <f>(4*K8/K7/3.14)^0.5</f>
        <v>4.4435792254962303</v>
      </c>
      <c r="L9" s="18">
        <f>(4*L8/L7/3.14)^0.5</f>
        <v>4.5217257467689862</v>
      </c>
      <c r="M9" s="18">
        <f>(4*M8/M7/3.14)^0.5</f>
        <v>3.7924538324717867</v>
      </c>
      <c r="N9" s="23">
        <f>(4*N8/N7/3.14)^0.5</f>
        <v>3.7287105728006842</v>
      </c>
      <c r="O9" s="23">
        <f>(4*O8/O7/3.14)^0.5</f>
        <v>6.022410871226473</v>
      </c>
    </row>
    <row r="10" spans="2:15" x14ac:dyDescent="0.3">
      <c r="B10" s="4" t="s">
        <v>20</v>
      </c>
      <c r="C10" s="1">
        <v>200</v>
      </c>
      <c r="D10" s="2">
        <v>200</v>
      </c>
      <c r="J10" s="4" t="s">
        <v>85</v>
      </c>
      <c r="K10" s="19">
        <f>K9</f>
        <v>4.4435792254962303</v>
      </c>
      <c r="L10" s="18">
        <f>L9</f>
        <v>4.5217257467689862</v>
      </c>
      <c r="M10" s="23"/>
      <c r="N10" s="23"/>
      <c r="O10" s="23"/>
    </row>
    <row r="11" spans="2:15" x14ac:dyDescent="0.3">
      <c r="B11" s="4" t="s">
        <v>21</v>
      </c>
      <c r="C11" s="1">
        <v>29</v>
      </c>
      <c r="D11" s="2">
        <v>29</v>
      </c>
      <c r="J11" s="4" t="s">
        <v>87</v>
      </c>
      <c r="K11" s="19"/>
      <c r="L11" s="18">
        <v>1.7</v>
      </c>
      <c r="M11" s="23"/>
      <c r="N11" s="23"/>
      <c r="O11" s="23"/>
    </row>
    <row r="12" spans="2:15" x14ac:dyDescent="0.3">
      <c r="B12" s="4"/>
      <c r="C12" s="1"/>
      <c r="D12" s="2"/>
      <c r="J12" s="22" t="s">
        <v>88</v>
      </c>
      <c r="K12" s="1" t="s">
        <v>3</v>
      </c>
      <c r="L12" s="1"/>
      <c r="M12" s="23"/>
      <c r="N12" s="23"/>
      <c r="O12" s="23"/>
    </row>
    <row r="13" spans="2:15" x14ac:dyDescent="0.3">
      <c r="B13" s="4"/>
      <c r="C13" s="1"/>
      <c r="D13" s="2"/>
      <c r="J13" s="4" t="s">
        <v>89</v>
      </c>
      <c r="K13" s="19">
        <v>36</v>
      </c>
      <c r="L13" s="18"/>
      <c r="M13" s="23"/>
      <c r="N13" s="23"/>
      <c r="O13" s="23"/>
    </row>
    <row r="14" spans="2:15" x14ac:dyDescent="0.3">
      <c r="B14" s="4"/>
      <c r="C14" s="1"/>
      <c r="D14" s="2"/>
      <c r="J14" s="4" t="s">
        <v>90</v>
      </c>
      <c r="K14" s="19">
        <f>PI()/4*(K13*25.4/1000)^2</f>
        <v>0.65669289291035704</v>
      </c>
      <c r="L14" s="18"/>
      <c r="M14" s="23"/>
      <c r="N14" s="23"/>
      <c r="O14" s="23"/>
    </row>
    <row r="15" spans="2:15" x14ac:dyDescent="0.3">
      <c r="B15" s="4"/>
      <c r="C15" s="1"/>
      <c r="D15" s="2"/>
      <c r="J15" s="4" t="s">
        <v>91</v>
      </c>
      <c r="K15" s="19">
        <f>(C5+D5)/((C5/C6)+(D5/D6))</f>
        <v>10.313507665579822</v>
      </c>
      <c r="L15" s="18"/>
      <c r="M15" s="23"/>
      <c r="N15" s="23"/>
      <c r="O15" s="23"/>
    </row>
    <row r="16" spans="2:15" x14ac:dyDescent="0.3">
      <c r="B16" s="4"/>
      <c r="C16" s="1"/>
      <c r="D16" s="2"/>
      <c r="J16" s="4" t="s">
        <v>92</v>
      </c>
      <c r="K16" s="19">
        <f xml:space="preserve"> (C5+D5)/K15/K14/3600</f>
        <v>19.07107624575503</v>
      </c>
      <c r="L16" s="18"/>
      <c r="M16" s="23"/>
      <c r="N16" s="23"/>
      <c r="O16" s="23"/>
    </row>
    <row r="17" spans="2:24" x14ac:dyDescent="0.3">
      <c r="B17" s="4"/>
      <c r="C17" s="1"/>
      <c r="D17" s="2"/>
      <c r="J17" s="4" t="s">
        <v>93</v>
      </c>
      <c r="K17" s="19">
        <f>K15*(K16^2)</f>
        <v>3751.084094796237</v>
      </c>
      <c r="L17" s="18"/>
      <c r="M17" s="23"/>
      <c r="N17" s="23"/>
      <c r="O17" s="23"/>
      <c r="P17" t="s">
        <v>95</v>
      </c>
      <c r="Q17" s="12" t="s">
        <v>142</v>
      </c>
      <c r="R17" s="12"/>
      <c r="S17" s="12"/>
      <c r="T17" s="12"/>
      <c r="U17" s="12"/>
      <c r="V17" s="12"/>
      <c r="W17" s="12"/>
      <c r="X17" s="12"/>
    </row>
    <row r="18" spans="2:24" ht="15" thickBot="1" x14ac:dyDescent="0.35">
      <c r="J18" s="4" t="s">
        <v>94</v>
      </c>
      <c r="K18" s="19">
        <f>D6*((D5/D6/3600/K14)^2)</f>
        <v>3552.7963075674629</v>
      </c>
      <c r="L18" s="18"/>
      <c r="M18" s="23"/>
      <c r="N18" s="23"/>
      <c r="O18" s="23"/>
      <c r="P18" t="s">
        <v>96</v>
      </c>
    </row>
    <row r="19" spans="2:24" ht="15" thickTop="1" x14ac:dyDescent="0.3">
      <c r="C19" s="10" t="s">
        <v>4</v>
      </c>
      <c r="J19" s="22" t="s">
        <v>88</v>
      </c>
      <c r="K19" s="1" t="s">
        <v>97</v>
      </c>
      <c r="L19" s="1"/>
      <c r="M19" s="23"/>
      <c r="N19" s="23"/>
      <c r="O19" s="23"/>
    </row>
    <row r="20" spans="2:24" x14ac:dyDescent="0.3">
      <c r="B20" s="4" t="s">
        <v>2</v>
      </c>
      <c r="C20" s="1" t="s">
        <v>9</v>
      </c>
      <c r="J20" s="4" t="s">
        <v>89</v>
      </c>
      <c r="K20" s="19">
        <v>36</v>
      </c>
      <c r="L20" s="18"/>
      <c r="M20" s="23"/>
      <c r="N20" s="23"/>
      <c r="O20" s="23"/>
    </row>
    <row r="21" spans="2:24" x14ac:dyDescent="0.3">
      <c r="B21" s="4" t="s">
        <v>24</v>
      </c>
      <c r="C21" s="1">
        <v>3750</v>
      </c>
      <c r="J21" s="4" t="s">
        <v>90</v>
      </c>
      <c r="K21" s="20">
        <f>PI()/4*(K20*25.4/1000)^2</f>
        <v>0.65669289291035704</v>
      </c>
      <c r="L21" s="18"/>
      <c r="M21" s="23"/>
      <c r="N21" s="23"/>
      <c r="O21" s="23"/>
    </row>
    <row r="22" spans="2:24" x14ac:dyDescent="0.3">
      <c r="B22" s="4" t="s">
        <v>5</v>
      </c>
      <c r="C22" s="1">
        <v>4850</v>
      </c>
      <c r="J22" s="4" t="s">
        <v>82</v>
      </c>
      <c r="K22" s="20">
        <f>D5/D6/3600/K21</f>
        <v>19.059685361798149</v>
      </c>
      <c r="L22" s="18"/>
      <c r="M22" s="23"/>
      <c r="N22" s="23"/>
      <c r="O22" s="23"/>
    </row>
    <row r="23" spans="2:24" x14ac:dyDescent="0.3">
      <c r="B23" s="4" t="s">
        <v>6</v>
      </c>
      <c r="C23" s="1" t="s">
        <v>25</v>
      </c>
      <c r="J23" s="4"/>
      <c r="K23" s="21"/>
      <c r="L23" s="18"/>
      <c r="M23" s="23"/>
      <c r="N23" s="23"/>
      <c r="O23" s="23"/>
    </row>
    <row r="24" spans="2:24" x14ac:dyDescent="0.3">
      <c r="B24" s="4" t="s">
        <v>7</v>
      </c>
      <c r="C24" s="1" t="s">
        <v>26</v>
      </c>
      <c r="J24" s="4"/>
      <c r="K24" s="21"/>
      <c r="L24" s="23"/>
      <c r="M24" s="23"/>
      <c r="N24" s="23"/>
      <c r="O24" s="23"/>
    </row>
    <row r="25" spans="2:24" x14ac:dyDescent="0.3">
      <c r="B25" s="4" t="s">
        <v>8</v>
      </c>
      <c r="C25" s="1" t="s">
        <v>26</v>
      </c>
      <c r="J25" s="4" t="s">
        <v>94</v>
      </c>
      <c r="K25" s="21">
        <f>D6*((D5/D6/3600/K21)^2)</f>
        <v>3552.7963075674629</v>
      </c>
      <c r="L25" s="23"/>
      <c r="M25" s="23"/>
      <c r="N25" s="23"/>
      <c r="O25" s="23"/>
      <c r="P25" t="s">
        <v>96</v>
      </c>
    </row>
    <row r="26" spans="2:24" x14ac:dyDescent="0.3">
      <c r="B26" s="4" t="s">
        <v>10</v>
      </c>
      <c r="C26" s="1">
        <v>500</v>
      </c>
      <c r="J26" s="22" t="s">
        <v>88</v>
      </c>
      <c r="K26" s="24" t="s">
        <v>0</v>
      </c>
      <c r="L26" s="24"/>
      <c r="M26" s="23"/>
      <c r="N26" s="23"/>
      <c r="O26" s="23"/>
    </row>
    <row r="27" spans="2:24" x14ac:dyDescent="0.3">
      <c r="B27" s="4" t="s">
        <v>11</v>
      </c>
      <c r="C27" s="1">
        <v>600</v>
      </c>
      <c r="J27" s="4" t="s">
        <v>89</v>
      </c>
      <c r="K27" s="21">
        <v>3</v>
      </c>
      <c r="L27" s="23"/>
      <c r="M27" s="23"/>
      <c r="N27" s="23"/>
      <c r="O27" s="23"/>
    </row>
    <row r="28" spans="2:24" x14ac:dyDescent="0.3">
      <c r="B28" s="4" t="s">
        <v>12</v>
      </c>
      <c r="C28" s="1">
        <v>800</v>
      </c>
      <c r="J28" s="4" t="s">
        <v>90</v>
      </c>
      <c r="K28" s="21">
        <f>PI()/4*(K27*25.4/1000)^2</f>
        <v>4.5603673118774788E-3</v>
      </c>
      <c r="L28" s="23"/>
      <c r="M28" s="23"/>
      <c r="N28" s="23"/>
      <c r="O28" s="23"/>
    </row>
    <row r="29" spans="2:24" x14ac:dyDescent="0.3">
      <c r="B29" s="4" t="s">
        <v>13</v>
      </c>
      <c r="C29" s="1">
        <v>900</v>
      </c>
      <c r="J29" s="4" t="s">
        <v>98</v>
      </c>
      <c r="K29" s="21">
        <f>C5/C6/3600/K28</f>
        <v>1.6402872897912402</v>
      </c>
      <c r="L29" s="23"/>
      <c r="M29" s="23"/>
      <c r="N29" s="23"/>
      <c r="O29" s="23"/>
    </row>
    <row r="30" spans="2:24" x14ac:dyDescent="0.3">
      <c r="B30" s="4" t="s">
        <v>14</v>
      </c>
      <c r="C30" s="1" t="s">
        <v>27</v>
      </c>
      <c r="J30" s="22" t="s">
        <v>99</v>
      </c>
      <c r="K30" s="24"/>
      <c r="L30" s="24"/>
      <c r="M30" s="23"/>
      <c r="N30" s="23"/>
      <c r="O30" s="23"/>
    </row>
    <row r="31" spans="2:24" x14ac:dyDescent="0.3">
      <c r="B31" s="4" t="s">
        <v>15</v>
      </c>
      <c r="C31" s="1" t="s">
        <v>28</v>
      </c>
      <c r="J31" s="4" t="s">
        <v>72</v>
      </c>
      <c r="K31" s="21">
        <v>150</v>
      </c>
      <c r="L31" s="23"/>
      <c r="M31" s="23"/>
      <c r="N31" s="23"/>
      <c r="O31" s="23"/>
    </row>
    <row r="32" spans="2:24" x14ac:dyDescent="0.3">
      <c r="B32" s="4" t="s">
        <v>143</v>
      </c>
      <c r="C32" s="1">
        <v>863</v>
      </c>
      <c r="J32" s="4" t="s">
        <v>71</v>
      </c>
      <c r="K32" s="21">
        <f>ROUNDUP(MAX(150,2*C5/C6/60/(PI()/4*K9^2)*1000),0)</f>
        <v>150</v>
      </c>
      <c r="L32" s="23"/>
      <c r="M32" s="23"/>
      <c r="N32" s="23"/>
      <c r="O32" s="23"/>
    </row>
    <row r="33" spans="2:15" x14ac:dyDescent="0.3">
      <c r="B33" s="4" t="s">
        <v>144</v>
      </c>
      <c r="C33" s="1">
        <v>863</v>
      </c>
      <c r="J33" s="4" t="s">
        <v>70</v>
      </c>
      <c r="K33" s="21">
        <f>ROUNDUP(MAX(350,4*C5/C6/60/(PI()/4*K9^2)*1000),0)</f>
        <v>350</v>
      </c>
      <c r="L33" s="23"/>
      <c r="M33" s="23"/>
      <c r="N33" s="23"/>
      <c r="O33" s="23"/>
    </row>
    <row r="34" spans="2:15" x14ac:dyDescent="0.3">
      <c r="B34" s="4" t="s">
        <v>145</v>
      </c>
      <c r="C34" s="1">
        <v>101.6</v>
      </c>
      <c r="J34" s="4" t="s">
        <v>69</v>
      </c>
      <c r="K34" s="21">
        <f>ROUNDUP(MAX(200,2*C5/C6/60/(PI()/4*K9^2)*1000),0)</f>
        <v>200</v>
      </c>
      <c r="L34" s="23"/>
      <c r="M34" s="23"/>
      <c r="N34" s="23"/>
      <c r="O34" s="23"/>
    </row>
    <row r="35" spans="2:15" x14ac:dyDescent="0.3">
      <c r="B35" s="3"/>
      <c r="C35" s="16" t="s">
        <v>73</v>
      </c>
      <c r="J35" s="4" t="s">
        <v>68</v>
      </c>
      <c r="K35" s="21">
        <f>400+K13*25.4/2</f>
        <v>857.2</v>
      </c>
      <c r="L35" s="23"/>
      <c r="M35" s="23"/>
      <c r="N35" s="23"/>
      <c r="O35" s="23"/>
    </row>
    <row r="36" spans="2:15" x14ac:dyDescent="0.3">
      <c r="B36" s="4" t="s">
        <v>64</v>
      </c>
      <c r="C36" s="11">
        <f>C22/C21</f>
        <v>1.2933333333333332</v>
      </c>
      <c r="J36" s="4" t="s">
        <v>67</v>
      </c>
      <c r="K36" s="21">
        <f>MAX(0.5*K10*1000,600)</f>
        <v>2221.7896127481154</v>
      </c>
      <c r="L36" s="23"/>
      <c r="M36" s="23"/>
      <c r="N36" s="23"/>
      <c r="O36" s="23"/>
    </row>
    <row r="37" spans="2:15" x14ac:dyDescent="0.3">
      <c r="B37" s="4" t="s">
        <v>141</v>
      </c>
      <c r="C37" s="11">
        <v>2825</v>
      </c>
      <c r="J37" s="4" t="s">
        <v>66</v>
      </c>
      <c r="K37" s="21">
        <v>150</v>
      </c>
      <c r="L37" s="23"/>
      <c r="M37" s="23"/>
      <c r="N37" s="23"/>
      <c r="O37" s="23"/>
    </row>
    <row r="38" spans="2:15" x14ac:dyDescent="0.3">
      <c r="B38" s="4"/>
      <c r="C38" s="11"/>
      <c r="J38" s="4" t="s">
        <v>65</v>
      </c>
      <c r="K38" s="21">
        <f>MAX(0.15*K10*1000,400)</f>
        <v>666.53688382443454</v>
      </c>
      <c r="L38" s="23"/>
      <c r="M38" s="23"/>
      <c r="N38" s="23"/>
      <c r="O38" s="23"/>
    </row>
    <row r="39" spans="2:15" x14ac:dyDescent="0.3">
      <c r="B39" s="4"/>
      <c r="C39" s="11"/>
      <c r="J39" s="4" t="s">
        <v>100</v>
      </c>
      <c r="K39" s="21">
        <f>SUM(K31:K38)</f>
        <v>4745.5264965725501</v>
      </c>
      <c r="L39" s="23"/>
      <c r="M39" s="23"/>
      <c r="N39" s="23"/>
      <c r="O39" s="23"/>
    </row>
    <row r="40" spans="2:15" x14ac:dyDescent="0.3">
      <c r="B40" s="4" t="s">
        <v>68</v>
      </c>
      <c r="C40" s="11">
        <v>1125</v>
      </c>
      <c r="J40" s="4" t="s">
        <v>64</v>
      </c>
      <c r="K40" s="21">
        <f>K39*0.001/K10</f>
        <v>1.0679513643739749</v>
      </c>
      <c r="L40" s="23"/>
      <c r="M40" s="23"/>
      <c r="N40" s="23"/>
      <c r="O40" s="23"/>
    </row>
    <row r="41" spans="2:15" x14ac:dyDescent="0.3">
      <c r="B41" s="4" t="s">
        <v>69</v>
      </c>
      <c r="C41" s="11">
        <v>100</v>
      </c>
      <c r="J41" s="22" t="s">
        <v>99</v>
      </c>
      <c r="K41" s="17"/>
      <c r="L41" s="17"/>
      <c r="M41" s="17"/>
      <c r="N41" s="17"/>
      <c r="O41" s="17"/>
    </row>
    <row r="42" spans="2:15" x14ac:dyDescent="0.3">
      <c r="B42" s="4" t="s">
        <v>70</v>
      </c>
      <c r="C42" s="11">
        <v>200</v>
      </c>
    </row>
    <row r="43" spans="2:15" x14ac:dyDescent="0.3">
      <c r="B43" s="4" t="s">
        <v>71</v>
      </c>
      <c r="C43" s="11">
        <v>100</v>
      </c>
    </row>
    <row r="44" spans="2:15" x14ac:dyDescent="0.3">
      <c r="B44" s="4" t="s">
        <v>72</v>
      </c>
      <c r="C44" s="11">
        <v>500</v>
      </c>
    </row>
    <row r="45" spans="2:15" x14ac:dyDescent="0.3">
      <c r="B45" s="4" t="s">
        <v>75</v>
      </c>
      <c r="C45" s="11"/>
    </row>
    <row r="46" spans="2:15" x14ac:dyDescent="0.3">
      <c r="B46" s="4" t="s">
        <v>76</v>
      </c>
      <c r="C46" s="11"/>
    </row>
    <row r="47" spans="2:15" x14ac:dyDescent="0.3">
      <c r="B47" s="4" t="s">
        <v>78</v>
      </c>
      <c r="C47" s="11"/>
    </row>
  </sheetData>
  <phoneticPr fontId="14" type="noConversion"/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V48"/>
  <sheetViews>
    <sheetView topLeftCell="A2" workbookViewId="0">
      <selection activeCell="M7" sqref="M7"/>
    </sheetView>
  </sheetViews>
  <sheetFormatPr defaultRowHeight="14.4" x14ac:dyDescent="0.3"/>
  <cols>
    <col min="2" max="2" width="21.5546875" customWidth="1"/>
    <col min="3" max="3" width="19.6640625" customWidth="1"/>
    <col min="4" max="4" width="18.44140625" customWidth="1"/>
    <col min="10" max="10" width="19.88671875" customWidth="1"/>
    <col min="11" max="11" width="15.44140625" customWidth="1"/>
    <col min="12" max="13" width="13" customWidth="1"/>
    <col min="22" max="22" width="13" customWidth="1"/>
  </cols>
  <sheetData>
    <row r="2" spans="2:13" ht="15" thickBot="1" x14ac:dyDescent="0.35"/>
    <row r="3" spans="2:13" ht="15.6" thickTop="1" thickBot="1" x14ac:dyDescent="0.35">
      <c r="B3" s="8"/>
      <c r="C3" s="9" t="s">
        <v>3</v>
      </c>
      <c r="D3" s="8"/>
      <c r="K3" s="10" t="s">
        <v>79</v>
      </c>
      <c r="L3" s="10" t="s">
        <v>86</v>
      </c>
      <c r="M3" s="34"/>
    </row>
    <row r="4" spans="2:13" ht="15" thickTop="1" x14ac:dyDescent="0.3">
      <c r="B4" s="5" t="s">
        <v>2</v>
      </c>
      <c r="C4" s="6" t="s">
        <v>0</v>
      </c>
      <c r="D4" s="7" t="s">
        <v>1</v>
      </c>
      <c r="J4" s="4" t="s">
        <v>2</v>
      </c>
      <c r="K4" s="19" t="s">
        <v>23</v>
      </c>
      <c r="L4" s="18" t="s">
        <v>23</v>
      </c>
      <c r="M4" s="18" t="s">
        <v>147</v>
      </c>
    </row>
    <row r="5" spans="2:13" x14ac:dyDescent="0.3">
      <c r="B5" s="4" t="s">
        <v>16</v>
      </c>
      <c r="C5" s="1">
        <v>27086</v>
      </c>
      <c r="D5" s="2">
        <v>413590</v>
      </c>
      <c r="J5" s="4" t="s">
        <v>80</v>
      </c>
      <c r="K5" s="19">
        <f t="shared" ref="K5" si="0">(C6/D6)-1</f>
        <v>94.28301886792454</v>
      </c>
      <c r="L5" s="18">
        <f>Table51225[[#This Row],[OUTPUT]]</f>
        <v>94.28301886792454</v>
      </c>
      <c r="M5" s="23">
        <f>94.28</f>
        <v>94.28</v>
      </c>
    </row>
    <row r="6" spans="2:13" x14ac:dyDescent="0.3">
      <c r="B6" s="4" t="s">
        <v>22</v>
      </c>
      <c r="C6" s="1">
        <v>909</v>
      </c>
      <c r="D6" s="2">
        <v>9.5399999999999991</v>
      </c>
      <c r="J6" s="4" t="s">
        <v>81</v>
      </c>
      <c r="K6" s="19">
        <v>0.97</v>
      </c>
      <c r="L6" s="18">
        <f>0.048*((Table18[[#This Row],[INLET]]-D6)/D6)^0.5</f>
        <v>0.46607732778123651</v>
      </c>
      <c r="M6" s="23">
        <f>(0.11)*SQRT(M5)</f>
        <v>1.0680767762665753</v>
      </c>
    </row>
    <row r="7" spans="2:13" x14ac:dyDescent="0.3">
      <c r="B7" s="4" t="s">
        <v>17</v>
      </c>
      <c r="C7" s="1"/>
      <c r="D7" s="2">
        <v>12.94</v>
      </c>
      <c r="J7" s="4" t="s">
        <v>82</v>
      </c>
      <c r="K7" s="19">
        <f>K6*0.85</f>
        <v>0.82450000000000001</v>
      </c>
      <c r="L7" s="18">
        <f>L6*L11</f>
        <v>0.79233145722810205</v>
      </c>
      <c r="M7" s="23">
        <f>M6</f>
        <v>1.0680767762665753</v>
      </c>
    </row>
    <row r="8" spans="2:13" x14ac:dyDescent="0.3">
      <c r="B8" s="4" t="s">
        <v>18</v>
      </c>
      <c r="C8" s="1">
        <v>159</v>
      </c>
      <c r="D8" s="2">
        <v>159</v>
      </c>
      <c r="J8" s="4" t="s">
        <v>83</v>
      </c>
      <c r="K8" s="19">
        <f>D5/D6/3600</f>
        <v>12.042569298858607</v>
      </c>
      <c r="L8" s="18">
        <f>Table51225[[#This Row],[OUTPUT]]</f>
        <v>12.042569298858607</v>
      </c>
      <c r="M8" s="23">
        <f>Table51225[[#This Row],[OUTPUT]]</f>
        <v>12.042569298858607</v>
      </c>
    </row>
    <row r="9" spans="2:13" x14ac:dyDescent="0.3">
      <c r="B9" s="4" t="s">
        <v>19</v>
      </c>
      <c r="C9" s="1">
        <v>25.3</v>
      </c>
      <c r="D9" s="2">
        <v>25.3</v>
      </c>
      <c r="J9" s="4" t="s">
        <v>84</v>
      </c>
      <c r="K9" s="19">
        <f>(4*K8/K7/3.14)^0.5</f>
        <v>4.3134961893332324</v>
      </c>
      <c r="L9" s="18">
        <f>(4*L8/L7/3.14)^0.5</f>
        <v>4.4001886793393652</v>
      </c>
      <c r="M9" s="18">
        <f>(4*M8/M7/3.14)^0.5</f>
        <v>3.7898630151935166</v>
      </c>
    </row>
    <row r="10" spans="2:13" x14ac:dyDescent="0.3">
      <c r="B10" s="4" t="s">
        <v>20</v>
      </c>
      <c r="C10" s="1">
        <v>200</v>
      </c>
      <c r="D10" s="2">
        <v>200</v>
      </c>
      <c r="J10" s="4" t="s">
        <v>85</v>
      </c>
      <c r="K10" s="19">
        <f>K9</f>
        <v>4.3134961893332324</v>
      </c>
      <c r="L10" s="18">
        <f>L9</f>
        <v>4.4001886793393652</v>
      </c>
      <c r="M10" s="23"/>
    </row>
    <row r="11" spans="2:13" x14ac:dyDescent="0.3">
      <c r="B11" s="4" t="s">
        <v>21</v>
      </c>
      <c r="C11" s="1">
        <v>29</v>
      </c>
      <c r="D11" s="2">
        <v>29</v>
      </c>
      <c r="J11" s="4" t="s">
        <v>87</v>
      </c>
      <c r="K11" s="19"/>
      <c r="L11" s="18">
        <v>1.7</v>
      </c>
      <c r="M11" s="23"/>
    </row>
    <row r="12" spans="2:13" x14ac:dyDescent="0.3">
      <c r="B12" s="4"/>
      <c r="C12" s="1"/>
      <c r="D12" s="2"/>
      <c r="J12" s="22" t="s">
        <v>88</v>
      </c>
      <c r="K12" s="1" t="s">
        <v>3</v>
      </c>
      <c r="L12" s="1"/>
      <c r="M12" s="23"/>
    </row>
    <row r="13" spans="2:13" x14ac:dyDescent="0.3">
      <c r="B13" s="4"/>
      <c r="C13" s="1"/>
      <c r="D13" s="2"/>
      <c r="J13" s="4" t="s">
        <v>89</v>
      </c>
      <c r="K13" s="19">
        <v>36</v>
      </c>
      <c r="L13" s="18"/>
      <c r="M13" s="23"/>
    </row>
    <row r="14" spans="2:13" x14ac:dyDescent="0.3">
      <c r="B14" s="4"/>
      <c r="C14" s="1"/>
      <c r="D14" s="2"/>
      <c r="J14" s="4" t="s">
        <v>90</v>
      </c>
      <c r="K14" s="19">
        <f>PI()/4*(K13*25.4/1000)^2</f>
        <v>0.65669289291035704</v>
      </c>
      <c r="L14" s="18"/>
      <c r="M14" s="23"/>
    </row>
    <row r="15" spans="2:13" x14ac:dyDescent="0.3">
      <c r="B15" s="4"/>
      <c r="C15" s="1"/>
      <c r="D15" s="2"/>
      <c r="J15" s="4" t="s">
        <v>91</v>
      </c>
      <c r="K15" s="19">
        <f>(C5+D5)/((C5/C6)+(D5/D6))</f>
        <v>10.157792730296913</v>
      </c>
      <c r="L15" s="18"/>
      <c r="M15" s="23"/>
    </row>
    <row r="16" spans="2:13" x14ac:dyDescent="0.3">
      <c r="B16" s="4"/>
      <c r="C16" s="1"/>
      <c r="D16" s="2"/>
      <c r="J16" s="4" t="s">
        <v>92</v>
      </c>
      <c r="K16" s="19">
        <f xml:space="preserve"> (C5+D5)/K15/K14/3600</f>
        <v>18.350809844978716</v>
      </c>
      <c r="L16" s="18"/>
      <c r="M16" s="23"/>
    </row>
    <row r="17" spans="2:22" x14ac:dyDescent="0.3">
      <c r="B17" s="4"/>
      <c r="C17" s="1"/>
      <c r="D17" s="2"/>
      <c r="J17" s="4" t="s">
        <v>93</v>
      </c>
      <c r="K17" s="19">
        <f>K15*(K16^2)</f>
        <v>3420.6592722033347</v>
      </c>
      <c r="L17" s="18"/>
      <c r="M17" s="23"/>
      <c r="N17" t="s">
        <v>95</v>
      </c>
      <c r="O17" s="12" t="s">
        <v>142</v>
      </c>
      <c r="P17" s="12"/>
      <c r="Q17" s="12"/>
      <c r="R17" s="12"/>
      <c r="S17" s="12"/>
      <c r="T17" s="12"/>
      <c r="U17" s="12"/>
      <c r="V17" s="12"/>
    </row>
    <row r="18" spans="2:22" ht="15" thickBot="1" x14ac:dyDescent="0.35">
      <c r="J18" s="4" t="s">
        <v>94</v>
      </c>
      <c r="K18" s="19">
        <f>D6*((D5/D6/3600/K14)^2)</f>
        <v>3208.2045520684737</v>
      </c>
      <c r="L18" s="18"/>
      <c r="M18" s="23"/>
      <c r="N18" t="s">
        <v>96</v>
      </c>
    </row>
    <row r="19" spans="2:22" ht="15" thickTop="1" x14ac:dyDescent="0.3">
      <c r="C19" s="10" t="s">
        <v>4</v>
      </c>
      <c r="J19" s="22" t="s">
        <v>88</v>
      </c>
      <c r="K19" s="1" t="s">
        <v>97</v>
      </c>
      <c r="L19" s="1"/>
      <c r="M19" s="23"/>
    </row>
    <row r="20" spans="2:22" x14ac:dyDescent="0.3">
      <c r="B20" s="4" t="s">
        <v>2</v>
      </c>
      <c r="C20" s="1" t="s">
        <v>9</v>
      </c>
      <c r="J20" s="4" t="s">
        <v>89</v>
      </c>
      <c r="K20" s="19">
        <v>36</v>
      </c>
      <c r="L20" s="18"/>
      <c r="M20" s="23"/>
    </row>
    <row r="21" spans="2:22" x14ac:dyDescent="0.3">
      <c r="B21" s="4" t="s">
        <v>24</v>
      </c>
      <c r="C21" s="1">
        <v>3650</v>
      </c>
      <c r="J21" s="4" t="s">
        <v>90</v>
      </c>
      <c r="K21" s="19">
        <f>PI()/4*(K20*25.4/1000)^2</f>
        <v>0.65669289291035704</v>
      </c>
      <c r="L21" s="18"/>
      <c r="M21" s="23"/>
    </row>
    <row r="22" spans="2:22" x14ac:dyDescent="0.3">
      <c r="B22" s="4" t="s">
        <v>5</v>
      </c>
      <c r="C22" s="1">
        <v>4750</v>
      </c>
      <c r="J22" s="4" t="s">
        <v>82</v>
      </c>
      <c r="K22" s="19">
        <f>D5/D6/3600/K21</f>
        <v>18.338205619201819</v>
      </c>
      <c r="L22" s="18"/>
      <c r="M22" s="23"/>
    </row>
    <row r="23" spans="2:22" x14ac:dyDescent="0.3">
      <c r="B23" s="4" t="s">
        <v>6</v>
      </c>
      <c r="C23" s="1" t="s">
        <v>25</v>
      </c>
      <c r="J23" s="4"/>
      <c r="K23" s="21"/>
      <c r="L23" s="18"/>
      <c r="M23" s="23"/>
    </row>
    <row r="24" spans="2:22" x14ac:dyDescent="0.3">
      <c r="B24" s="4" t="s">
        <v>7</v>
      </c>
      <c r="C24" s="1" t="s">
        <v>26</v>
      </c>
      <c r="J24" s="4"/>
      <c r="K24" s="21"/>
      <c r="L24" s="23"/>
      <c r="M24" s="23"/>
    </row>
    <row r="25" spans="2:22" x14ac:dyDescent="0.3">
      <c r="B25" s="4" t="s">
        <v>8</v>
      </c>
      <c r="C25" s="1" t="s">
        <v>26</v>
      </c>
      <c r="J25" s="4" t="s">
        <v>94</v>
      </c>
      <c r="K25" s="21">
        <f>D6*((D5/D6/3600/K21)^2)</f>
        <v>3208.2045520684737</v>
      </c>
      <c r="L25" s="23"/>
      <c r="M25" s="23"/>
      <c r="N25" t="s">
        <v>96</v>
      </c>
    </row>
    <row r="26" spans="2:22" x14ac:dyDescent="0.3">
      <c r="B26" s="4" t="s">
        <v>10</v>
      </c>
      <c r="C26" s="1">
        <v>500</v>
      </c>
      <c r="J26" s="22" t="s">
        <v>88</v>
      </c>
      <c r="K26" s="24" t="s">
        <v>0</v>
      </c>
      <c r="L26" s="24"/>
      <c r="M26" s="23"/>
    </row>
    <row r="27" spans="2:22" x14ac:dyDescent="0.3">
      <c r="B27" s="4" t="s">
        <v>11</v>
      </c>
      <c r="C27" s="1">
        <v>600</v>
      </c>
      <c r="J27" s="4" t="s">
        <v>89</v>
      </c>
      <c r="K27" s="21">
        <v>4</v>
      </c>
      <c r="L27" s="23"/>
      <c r="M27" s="23"/>
    </row>
    <row r="28" spans="2:22" x14ac:dyDescent="0.3">
      <c r="B28" s="4" t="s">
        <v>12</v>
      </c>
      <c r="C28" s="1">
        <v>800</v>
      </c>
      <c r="J28" s="4" t="s">
        <v>90</v>
      </c>
      <c r="K28" s="21">
        <f>PI()/4*(K27*25.4/1000)^2</f>
        <v>8.107319665559963E-3</v>
      </c>
      <c r="L28" s="23"/>
      <c r="M28" s="23"/>
    </row>
    <row r="29" spans="2:22" x14ac:dyDescent="0.3">
      <c r="B29" s="4" t="s">
        <v>13</v>
      </c>
      <c r="C29" s="1">
        <v>900</v>
      </c>
      <c r="J29" s="4" t="s">
        <v>98</v>
      </c>
      <c r="K29" s="21">
        <f>C5/C6/3600/K28</f>
        <v>1.0209422879287591</v>
      </c>
      <c r="L29" s="23"/>
      <c r="M29" s="23"/>
    </row>
    <row r="30" spans="2:22" x14ac:dyDescent="0.3">
      <c r="B30" s="4" t="s">
        <v>14</v>
      </c>
      <c r="C30" s="1" t="s">
        <v>27</v>
      </c>
      <c r="J30" s="22" t="s">
        <v>99</v>
      </c>
      <c r="K30" s="24"/>
      <c r="L30" s="24"/>
      <c r="M30" s="23"/>
    </row>
    <row r="31" spans="2:22" x14ac:dyDescent="0.3">
      <c r="B31" s="4" t="s">
        <v>15</v>
      </c>
      <c r="C31" s="1" t="s">
        <v>28</v>
      </c>
      <c r="J31" s="4" t="s">
        <v>72</v>
      </c>
      <c r="K31" s="21">
        <v>150</v>
      </c>
      <c r="L31" s="23"/>
      <c r="M31" s="23"/>
    </row>
    <row r="32" spans="2:22" x14ac:dyDescent="0.3">
      <c r="B32" s="4" t="s">
        <v>143</v>
      </c>
      <c r="C32" s="1">
        <v>863</v>
      </c>
      <c r="J32" s="4" t="s">
        <v>71</v>
      </c>
      <c r="K32" s="21">
        <f>ROUNDUP(MAX(150,2*C5/C6/60/(PI()/4*K9^2)*1000),0)</f>
        <v>150</v>
      </c>
      <c r="L32" s="23"/>
      <c r="M32" s="23"/>
    </row>
    <row r="33" spans="2:13" x14ac:dyDescent="0.3">
      <c r="B33" s="4" t="s">
        <v>144</v>
      </c>
      <c r="C33" s="1">
        <v>863</v>
      </c>
      <c r="J33" s="4" t="s">
        <v>70</v>
      </c>
      <c r="K33" s="21">
        <f>ROUNDUP(MAX(350,4*C5/C6/60/(PI()/4*K9^2)*1000),0)</f>
        <v>350</v>
      </c>
      <c r="L33" s="23"/>
      <c r="M33" s="23"/>
    </row>
    <row r="34" spans="2:13" x14ac:dyDescent="0.3">
      <c r="B34" s="4" t="s">
        <v>145</v>
      </c>
      <c r="C34" s="1">
        <v>101.6</v>
      </c>
      <c r="J34" s="4" t="s">
        <v>69</v>
      </c>
      <c r="K34" s="21">
        <f>ROUNDUP(MAX(200,2*C5/C6/60/(PI()/4*K9^2)*1000),0)</f>
        <v>200</v>
      </c>
      <c r="L34" s="23"/>
      <c r="M34" s="23"/>
    </row>
    <row r="35" spans="2:13" x14ac:dyDescent="0.3">
      <c r="B35" s="3"/>
      <c r="C35" s="1"/>
      <c r="J35" s="4" t="s">
        <v>68</v>
      </c>
      <c r="K35" s="21">
        <f>400+K13*25.4/2</f>
        <v>857.2</v>
      </c>
      <c r="L35" s="23"/>
      <c r="M35" s="23"/>
    </row>
    <row r="36" spans="2:13" x14ac:dyDescent="0.3">
      <c r="B36" s="3"/>
      <c r="C36" s="16" t="s">
        <v>73</v>
      </c>
      <c r="J36" s="4" t="s">
        <v>67</v>
      </c>
      <c r="K36" s="21">
        <v>0</v>
      </c>
      <c r="L36" s="23"/>
      <c r="M36" s="23"/>
    </row>
    <row r="37" spans="2:13" x14ac:dyDescent="0.3">
      <c r="B37" s="4" t="s">
        <v>64</v>
      </c>
      <c r="C37" s="11">
        <f t="shared" ref="C37" si="1" xml:space="preserve"> C22/C21</f>
        <v>1.3013698630136987</v>
      </c>
      <c r="J37" s="4" t="s">
        <v>66</v>
      </c>
      <c r="K37" s="21">
        <v>0</v>
      </c>
      <c r="L37" s="23"/>
      <c r="M37" s="23"/>
    </row>
    <row r="38" spans="2:13" x14ac:dyDescent="0.3">
      <c r="B38" s="4" t="s">
        <v>141</v>
      </c>
      <c r="C38" s="11">
        <v>2750</v>
      </c>
      <c r="J38" s="4" t="s">
        <v>65</v>
      </c>
      <c r="K38" s="21">
        <f>MAX(0.6*K10*1000,800)</f>
        <v>2588.0977135999397</v>
      </c>
      <c r="L38" s="23"/>
      <c r="M38" s="23"/>
    </row>
    <row r="39" spans="2:13" x14ac:dyDescent="0.3">
      <c r="B39" s="4"/>
      <c r="C39" s="11"/>
      <c r="J39" s="4" t="s">
        <v>100</v>
      </c>
      <c r="K39" s="21">
        <f>SUM(K31:K38)</f>
        <v>4295.2977135999399</v>
      </c>
      <c r="L39" s="23"/>
      <c r="M39" s="23"/>
    </row>
    <row r="40" spans="2:13" x14ac:dyDescent="0.3">
      <c r="B40" s="4"/>
      <c r="C40" s="11"/>
      <c r="J40" s="4" t="s">
        <v>64</v>
      </c>
      <c r="K40" s="21">
        <f>K39*0.001/K10</f>
        <v>0.99578103818005093</v>
      </c>
      <c r="L40" s="23"/>
      <c r="M40" s="23"/>
    </row>
    <row r="41" spans="2:13" x14ac:dyDescent="0.3">
      <c r="B41" s="4" t="s">
        <v>68</v>
      </c>
      <c r="C41" s="11">
        <v>1100</v>
      </c>
      <c r="J41" s="22" t="s">
        <v>99</v>
      </c>
      <c r="K41" s="17"/>
      <c r="L41" s="17"/>
      <c r="M41" s="17"/>
    </row>
    <row r="42" spans="2:13" x14ac:dyDescent="0.3">
      <c r="B42" s="4" t="s">
        <v>69</v>
      </c>
      <c r="C42" s="11">
        <v>100</v>
      </c>
    </row>
    <row r="43" spans="2:13" x14ac:dyDescent="0.3">
      <c r="B43" s="4" t="s">
        <v>70</v>
      </c>
      <c r="C43" s="11">
        <v>200</v>
      </c>
    </row>
    <row r="44" spans="2:13" x14ac:dyDescent="0.3">
      <c r="B44" s="4" t="s">
        <v>71</v>
      </c>
      <c r="C44" s="11">
        <v>100</v>
      </c>
    </row>
    <row r="45" spans="2:13" x14ac:dyDescent="0.3">
      <c r="B45" s="4" t="s">
        <v>72</v>
      </c>
      <c r="C45" s="11">
        <v>500</v>
      </c>
    </row>
    <row r="46" spans="2:13" x14ac:dyDescent="0.3">
      <c r="B46" s="4" t="s">
        <v>75</v>
      </c>
      <c r="C46" s="11"/>
    </row>
    <row r="47" spans="2:13" x14ac:dyDescent="0.3">
      <c r="B47" s="4" t="s">
        <v>76</v>
      </c>
      <c r="C47" s="11"/>
    </row>
    <row r="48" spans="2:13" x14ac:dyDescent="0.3">
      <c r="B48" s="4" t="s">
        <v>78</v>
      </c>
      <c r="C48" s="11"/>
    </row>
  </sheetData>
  <phoneticPr fontId="14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X50"/>
  <sheetViews>
    <sheetView topLeftCell="B1" workbookViewId="0">
      <selection activeCell="L9" sqref="L9"/>
    </sheetView>
  </sheetViews>
  <sheetFormatPr defaultRowHeight="14.4" x14ac:dyDescent="0.3"/>
  <cols>
    <col min="2" max="2" width="21.5546875" customWidth="1"/>
    <col min="3" max="3" width="20.33203125" customWidth="1"/>
    <col min="4" max="4" width="18" customWidth="1"/>
    <col min="10" max="10" width="18.5546875" customWidth="1"/>
    <col min="11" max="11" width="14.33203125" customWidth="1"/>
    <col min="12" max="15" width="13.44140625" customWidth="1"/>
    <col min="24" max="24" width="12.6640625" customWidth="1"/>
  </cols>
  <sheetData>
    <row r="2" spans="2:15" ht="15" thickBot="1" x14ac:dyDescent="0.35"/>
    <row r="3" spans="2:15" ht="15.6" thickTop="1" thickBot="1" x14ac:dyDescent="0.35">
      <c r="B3" s="8"/>
      <c r="C3" s="9" t="s">
        <v>3</v>
      </c>
      <c r="D3" s="8"/>
      <c r="K3" s="10" t="s">
        <v>79</v>
      </c>
      <c r="L3" s="10" t="s">
        <v>86</v>
      </c>
      <c r="M3" s="34" t="s">
        <v>108</v>
      </c>
      <c r="N3" s="34" t="s">
        <v>150</v>
      </c>
      <c r="O3" s="34" t="s">
        <v>151</v>
      </c>
    </row>
    <row r="4" spans="2:15" ht="15" thickTop="1" x14ac:dyDescent="0.3">
      <c r="B4" s="5" t="s">
        <v>2</v>
      </c>
      <c r="C4" s="6" t="s">
        <v>0</v>
      </c>
      <c r="D4" s="7" t="s">
        <v>1</v>
      </c>
      <c r="E4" t="s">
        <v>156</v>
      </c>
      <c r="F4" t="s">
        <v>108</v>
      </c>
      <c r="G4" t="s">
        <v>150</v>
      </c>
      <c r="H4" t="s">
        <v>151</v>
      </c>
      <c r="J4" s="4" t="s">
        <v>2</v>
      </c>
      <c r="K4" s="19" t="s">
        <v>23</v>
      </c>
      <c r="L4" s="18" t="s">
        <v>23</v>
      </c>
      <c r="M4" s="18" t="s">
        <v>153</v>
      </c>
      <c r="N4" s="18" t="s">
        <v>154</v>
      </c>
      <c r="O4" s="18" t="s">
        <v>155</v>
      </c>
    </row>
    <row r="5" spans="2:15" x14ac:dyDescent="0.3">
      <c r="B5" s="4" t="s">
        <v>16</v>
      </c>
      <c r="C5" s="1">
        <v>90055</v>
      </c>
      <c r="D5" s="2">
        <v>350621</v>
      </c>
      <c r="E5">
        <f>Table1814[[#This Row],[INLET]]/C6/60</f>
        <v>1.6173670977011494</v>
      </c>
      <c r="F5">
        <f>E5</f>
        <v>1.6173670977011494</v>
      </c>
      <c r="G5">
        <f>E5</f>
        <v>1.6173670977011494</v>
      </c>
      <c r="H5">
        <f>E5</f>
        <v>1.6173670977011494</v>
      </c>
      <c r="J5" s="4" t="s">
        <v>80</v>
      </c>
      <c r="K5" s="19">
        <f>(C6/D6)-1</f>
        <v>98.892357373519928</v>
      </c>
      <c r="L5" s="18">
        <f>Table512[[#This Row],[OUTPUT]]</f>
        <v>98.892357373519928</v>
      </c>
      <c r="M5" s="23">
        <f>Table512[[#This Row],[OUTPUT]]</f>
        <v>98.892357373519928</v>
      </c>
      <c r="N5" s="23">
        <f>Table512[[#This Row],[OUTPUT]]</f>
        <v>98.892357373519928</v>
      </c>
      <c r="O5" s="23">
        <f>Table613[[#This Row],[OUTPUT3]]</f>
        <v>98.892357373519928</v>
      </c>
    </row>
    <row r="6" spans="2:15" x14ac:dyDescent="0.3">
      <c r="B6" s="4" t="s">
        <v>22</v>
      </c>
      <c r="C6" s="1">
        <v>928</v>
      </c>
      <c r="D6" s="2">
        <v>9.2899999999999991</v>
      </c>
      <c r="E6">
        <f>3.14*L9*L9/4</f>
        <v>12.919573759600203</v>
      </c>
      <c r="F6">
        <f>3.14*M9*M9/4</f>
        <v>22.918200408334279</v>
      </c>
      <c r="G6">
        <f t="shared" ref="G6" si="0">3.14*N9*N9/4</f>
        <v>8.7853101565281406</v>
      </c>
      <c r="H6">
        <f>3.14*O9*O9/4</f>
        <v>8.7488565874139166</v>
      </c>
      <c r="J6" s="4" t="s">
        <v>81</v>
      </c>
      <c r="K6" s="19">
        <v>1</v>
      </c>
      <c r="L6" s="18">
        <f>0.048*((Table1814[[#This Row],[INLET]]-D6)/D6)^0.5</f>
        <v>0.47733425541080743</v>
      </c>
      <c r="M6" s="23">
        <f>(0.046)*SQRT(M5)</f>
        <v>0.45744532810202376</v>
      </c>
      <c r="N6" s="23">
        <f>(0.16)*SQRT(N5)</f>
        <v>1.5911141847026915</v>
      </c>
      <c r="O6" s="23">
        <f>(0.1205)*SQRT(O5)</f>
        <v>1.1983078703542145</v>
      </c>
    </row>
    <row r="7" spans="2:15" x14ac:dyDescent="0.3">
      <c r="B7" s="4" t="s">
        <v>17</v>
      </c>
      <c r="C7" s="1"/>
      <c r="D7" s="2">
        <v>12.32</v>
      </c>
      <c r="E7">
        <f>5*E5/E6</f>
        <v>0.62593670959900105</v>
      </c>
      <c r="F7">
        <f t="shared" ref="F7:H7" si="1">5*F5/F6</f>
        <v>0.35285647845041718</v>
      </c>
      <c r="G7">
        <f>3*G5/G6</f>
        <v>0.55229709670500082</v>
      </c>
      <c r="H7">
        <f t="shared" si="1"/>
        <v>0.92433055767989702</v>
      </c>
      <c r="J7" s="4" t="s">
        <v>82</v>
      </c>
      <c r="K7" s="19">
        <f>K6*0.85</f>
        <v>0.85</v>
      </c>
      <c r="L7" s="18">
        <f>L6*L11</f>
        <v>0.81146823419837266</v>
      </c>
      <c r="M7" s="23">
        <f>M6</f>
        <v>0.45744532810202376</v>
      </c>
      <c r="N7" s="23">
        <f>N6*0.75</f>
        <v>1.1933356385270186</v>
      </c>
      <c r="O7" s="23">
        <f>O6</f>
        <v>1.1983078703542145</v>
      </c>
    </row>
    <row r="8" spans="2:15" x14ac:dyDescent="0.3">
      <c r="B8" s="4" t="s">
        <v>18</v>
      </c>
      <c r="C8" s="1">
        <v>139</v>
      </c>
      <c r="D8" s="2">
        <v>139</v>
      </c>
      <c r="J8" s="4" t="s">
        <v>83</v>
      </c>
      <c r="K8" s="19">
        <f>D5/D6/3600</f>
        <v>10.483823705298411</v>
      </c>
      <c r="L8" s="18">
        <f>Table512[[#This Row],[OUTPUT]]</f>
        <v>10.483823705298411</v>
      </c>
      <c r="M8" s="23">
        <f>Table613[[#This Row],[OUTPUT]]</f>
        <v>10.483823705298411</v>
      </c>
      <c r="N8" s="23">
        <f>Table613[[#This Row],[OUTPUT]]</f>
        <v>10.483823705298411</v>
      </c>
      <c r="O8" s="23">
        <f>Table613[[#This Row],[OUTPUT2]]</f>
        <v>10.483823705298411</v>
      </c>
    </row>
    <row r="9" spans="2:15" x14ac:dyDescent="0.3">
      <c r="B9" s="4" t="s">
        <v>19</v>
      </c>
      <c r="C9" s="1">
        <v>24.8</v>
      </c>
      <c r="D9" s="2">
        <v>24.8</v>
      </c>
      <c r="J9" s="4" t="s">
        <v>84</v>
      </c>
      <c r="K9" s="19">
        <f>(4*K8/K7/3.14)^0.5</f>
        <v>3.9638349573140523</v>
      </c>
      <c r="L9" s="18">
        <f>(4*L8/L7/3.14)^0.5</f>
        <v>4.0568529360470578</v>
      </c>
      <c r="M9" s="18">
        <f>(4*M8/M7/3.14)^0.5</f>
        <v>5.4032545521972075</v>
      </c>
      <c r="N9" s="23">
        <f>(4*N8/N7/3.14)^0.5</f>
        <v>3.34536663258383</v>
      </c>
      <c r="O9" s="23">
        <f>(4*O8/O7/3.14)^0.5</f>
        <v>3.3384188231472458</v>
      </c>
    </row>
    <row r="10" spans="2:15" x14ac:dyDescent="0.3">
      <c r="B10" s="4" t="s">
        <v>20</v>
      </c>
      <c r="C10" s="1">
        <v>200</v>
      </c>
      <c r="D10" s="2">
        <v>200</v>
      </c>
      <c r="J10" s="4" t="s">
        <v>85</v>
      </c>
      <c r="K10" s="19">
        <f>K9</f>
        <v>3.9638349573140523</v>
      </c>
      <c r="L10" s="18">
        <f>L9</f>
        <v>4.0568529360470578</v>
      </c>
      <c r="M10" s="23"/>
      <c r="N10" s="23"/>
      <c r="O10" s="23"/>
    </row>
    <row r="11" spans="2:15" x14ac:dyDescent="0.3">
      <c r="B11" s="4" t="s">
        <v>21</v>
      </c>
      <c r="C11" s="1">
        <v>29</v>
      </c>
      <c r="D11" s="2">
        <v>29</v>
      </c>
      <c r="J11" s="4" t="s">
        <v>87</v>
      </c>
      <c r="K11" s="19"/>
      <c r="L11" s="18">
        <v>1.7</v>
      </c>
      <c r="M11" s="23"/>
      <c r="N11" s="23"/>
      <c r="O11" s="23"/>
    </row>
    <row r="12" spans="2:15" x14ac:dyDescent="0.3">
      <c r="B12" s="4"/>
      <c r="C12" s="1"/>
      <c r="D12" s="2"/>
      <c r="J12" s="22" t="s">
        <v>88</v>
      </c>
      <c r="K12" s="1" t="s">
        <v>3</v>
      </c>
      <c r="L12" s="1"/>
      <c r="M12" s="23"/>
      <c r="N12" s="23"/>
      <c r="O12" s="23"/>
    </row>
    <row r="13" spans="2:15" x14ac:dyDescent="0.3">
      <c r="B13" s="4"/>
      <c r="C13" s="1"/>
      <c r="D13" s="2"/>
      <c r="J13" s="4" t="s">
        <v>89</v>
      </c>
      <c r="K13" s="19">
        <v>34</v>
      </c>
      <c r="L13" s="18"/>
      <c r="M13" s="23"/>
      <c r="N13" s="23"/>
      <c r="O13" s="23"/>
    </row>
    <row r="14" spans="2:15" x14ac:dyDescent="0.3">
      <c r="B14" s="4"/>
      <c r="C14" s="1"/>
      <c r="D14" s="2"/>
      <c r="J14" s="4" t="s">
        <v>90</v>
      </c>
      <c r="K14" s="19">
        <f>PI()/4*(K13*25.4/1000)^2</f>
        <v>0.58575384583670731</v>
      </c>
      <c r="L14" s="18"/>
      <c r="M14" s="23"/>
      <c r="N14" s="23"/>
      <c r="O14" s="23"/>
    </row>
    <row r="15" spans="2:15" x14ac:dyDescent="0.3">
      <c r="B15" s="4"/>
      <c r="C15" s="1"/>
      <c r="D15" s="2"/>
      <c r="J15" s="4" t="s">
        <v>91</v>
      </c>
      <c r="K15" s="19">
        <f>(C5+D5)/((C5/C6)+(D5/D6))</f>
        <v>11.646138731326825</v>
      </c>
      <c r="L15" s="18"/>
      <c r="M15" s="23"/>
      <c r="N15" s="23"/>
      <c r="O15" s="23"/>
    </row>
    <row r="16" spans="2:15" x14ac:dyDescent="0.3">
      <c r="B16" s="4"/>
      <c r="C16" s="1"/>
      <c r="D16" s="2"/>
      <c r="J16" s="4" t="s">
        <v>92</v>
      </c>
      <c r="K16" s="19">
        <f xml:space="preserve"> (C5+D5)/K15/K14/3600</f>
        <v>17.94402187591195</v>
      </c>
      <c r="L16" s="18"/>
      <c r="M16" s="23"/>
      <c r="N16" s="23"/>
      <c r="O16" s="23"/>
    </row>
    <row r="17" spans="2:24" x14ac:dyDescent="0.3">
      <c r="B17" s="4"/>
      <c r="C17" s="1"/>
      <c r="D17" s="2"/>
      <c r="J17" s="4" t="s">
        <v>93</v>
      </c>
      <c r="K17" s="19">
        <f>K15*(K16^2)</f>
        <v>3749.9159987465382</v>
      </c>
      <c r="L17" s="18"/>
      <c r="M17" s="23"/>
      <c r="N17" s="23"/>
      <c r="O17" s="23"/>
      <c r="P17" t="s">
        <v>95</v>
      </c>
      <c r="Q17" s="12" t="s">
        <v>142</v>
      </c>
      <c r="R17" s="12"/>
      <c r="S17" s="12"/>
      <c r="T17" s="12"/>
      <c r="U17" s="12"/>
      <c r="V17" s="12"/>
      <c r="W17" s="12"/>
      <c r="X17" s="12"/>
    </row>
    <row r="18" spans="2:24" ht="15" thickBot="1" x14ac:dyDescent="0.35">
      <c r="J18" s="4" t="s">
        <v>94</v>
      </c>
      <c r="K18" s="19">
        <f>D6*((D5/D6/3600/K14)^2)</f>
        <v>2975.9445523647069</v>
      </c>
      <c r="L18" s="18"/>
      <c r="M18" s="23"/>
      <c r="N18" s="23"/>
      <c r="O18" s="23"/>
      <c r="P18" t="s">
        <v>96</v>
      </c>
    </row>
    <row r="19" spans="2:24" ht="15" thickTop="1" x14ac:dyDescent="0.3">
      <c r="C19" s="10" t="s">
        <v>4</v>
      </c>
      <c r="J19" s="22" t="s">
        <v>88</v>
      </c>
      <c r="K19" s="1" t="s">
        <v>97</v>
      </c>
      <c r="L19" s="1"/>
      <c r="M19" s="23"/>
      <c r="N19" s="23"/>
      <c r="O19" s="23"/>
    </row>
    <row r="20" spans="2:24" x14ac:dyDescent="0.3">
      <c r="B20" s="4" t="s">
        <v>2</v>
      </c>
      <c r="C20" s="1" t="s">
        <v>9</v>
      </c>
      <c r="J20" s="4" t="s">
        <v>89</v>
      </c>
      <c r="K20" s="19">
        <v>34</v>
      </c>
      <c r="L20" s="18"/>
      <c r="M20" s="23"/>
      <c r="N20" s="23"/>
      <c r="O20" s="23"/>
    </row>
    <row r="21" spans="2:24" x14ac:dyDescent="0.3">
      <c r="B21" s="4" t="s">
        <v>24</v>
      </c>
      <c r="C21" s="1">
        <v>3350</v>
      </c>
      <c r="J21" s="4" t="s">
        <v>90</v>
      </c>
      <c r="K21" s="20">
        <f>PI()/4*(K20*25.4/1000)^2</f>
        <v>0.58575384583670731</v>
      </c>
      <c r="L21" s="18"/>
      <c r="M21" s="23"/>
      <c r="N21" s="23"/>
      <c r="O21" s="23"/>
    </row>
    <row r="22" spans="2:24" x14ac:dyDescent="0.3">
      <c r="B22" s="4" t="s">
        <v>5</v>
      </c>
      <c r="C22" s="1">
        <v>4825</v>
      </c>
      <c r="J22" s="4" t="s">
        <v>82</v>
      </c>
      <c r="K22" s="20">
        <f>D5/D6/3600/K21</f>
        <v>17.898002343156659</v>
      </c>
      <c r="L22" s="18"/>
      <c r="M22" s="23"/>
      <c r="N22" s="23"/>
      <c r="O22" s="23"/>
    </row>
    <row r="23" spans="2:24" x14ac:dyDescent="0.3">
      <c r="B23" s="4" t="s">
        <v>6</v>
      </c>
      <c r="C23" s="1" t="s">
        <v>25</v>
      </c>
      <c r="J23" s="4"/>
      <c r="K23" s="21"/>
      <c r="L23" s="18"/>
      <c r="M23" s="23"/>
      <c r="N23" s="23"/>
      <c r="O23" s="23"/>
    </row>
    <row r="24" spans="2:24" x14ac:dyDescent="0.3">
      <c r="B24" s="4" t="s">
        <v>7</v>
      </c>
      <c r="C24" s="1" t="s">
        <v>26</v>
      </c>
      <c r="J24" s="4"/>
      <c r="K24" s="21"/>
      <c r="L24" s="23"/>
      <c r="M24" s="23"/>
      <c r="N24" s="23"/>
      <c r="O24" s="23"/>
    </row>
    <row r="25" spans="2:24" x14ac:dyDescent="0.3">
      <c r="B25" s="4" t="s">
        <v>8</v>
      </c>
      <c r="C25" s="1" t="s">
        <v>26</v>
      </c>
      <c r="J25" s="4" t="s">
        <v>94</v>
      </c>
      <c r="K25" s="21">
        <f>D6*((D5/D6/3600/K21)^2)</f>
        <v>2975.9445523647069</v>
      </c>
      <c r="L25" s="23"/>
      <c r="M25" s="23"/>
      <c r="N25" s="23"/>
      <c r="O25" s="23"/>
      <c r="P25" t="s">
        <v>96</v>
      </c>
    </row>
    <row r="26" spans="2:24" x14ac:dyDescent="0.3">
      <c r="B26" s="4" t="s">
        <v>10</v>
      </c>
      <c r="C26" s="1">
        <v>500</v>
      </c>
      <c r="J26" s="22" t="s">
        <v>88</v>
      </c>
      <c r="K26" s="24" t="s">
        <v>0</v>
      </c>
      <c r="L26" s="24"/>
      <c r="M26" s="23"/>
      <c r="N26" s="23"/>
      <c r="O26" s="23"/>
    </row>
    <row r="27" spans="2:24" x14ac:dyDescent="0.3">
      <c r="B27" s="4" t="s">
        <v>11</v>
      </c>
      <c r="C27" s="1">
        <v>700</v>
      </c>
      <c r="J27" s="4" t="s">
        <v>89</v>
      </c>
      <c r="K27" s="21">
        <v>8</v>
      </c>
      <c r="L27" s="23"/>
      <c r="M27" s="23"/>
      <c r="N27" s="23"/>
      <c r="O27" s="23"/>
    </row>
    <row r="28" spans="2:24" x14ac:dyDescent="0.3">
      <c r="B28" s="4" t="s">
        <v>12</v>
      </c>
      <c r="C28" s="1">
        <v>1075</v>
      </c>
      <c r="J28" s="4" t="s">
        <v>90</v>
      </c>
      <c r="K28" s="21">
        <f>PI()/4*(K27*25.4/1000)^2</f>
        <v>3.2429278662239852E-2</v>
      </c>
      <c r="L28" s="23"/>
      <c r="M28" s="23"/>
      <c r="N28" s="23"/>
      <c r="O28" s="23"/>
    </row>
    <row r="29" spans="2:24" x14ac:dyDescent="0.3">
      <c r="B29" s="4" t="s">
        <v>13</v>
      </c>
      <c r="C29" s="1">
        <v>1275</v>
      </c>
      <c r="J29" s="4" t="s">
        <v>98</v>
      </c>
      <c r="K29" s="21">
        <f>C5/C6/3600/K28</f>
        <v>0.83122781039241678</v>
      </c>
      <c r="L29" s="23"/>
      <c r="M29" s="23"/>
      <c r="N29" s="23"/>
      <c r="O29" s="23"/>
    </row>
    <row r="30" spans="2:24" x14ac:dyDescent="0.3">
      <c r="B30" s="4" t="s">
        <v>14</v>
      </c>
      <c r="C30" s="1" t="s">
        <v>27</v>
      </c>
      <c r="J30" s="22" t="s">
        <v>99</v>
      </c>
      <c r="K30" s="24"/>
      <c r="L30" s="24"/>
      <c r="M30" s="23"/>
      <c r="N30" s="23"/>
      <c r="O30" s="23"/>
    </row>
    <row r="31" spans="2:24" x14ac:dyDescent="0.3">
      <c r="B31" s="4" t="s">
        <v>15</v>
      </c>
      <c r="C31" s="1" t="s">
        <v>28</v>
      </c>
      <c r="J31" s="4" t="s">
        <v>72</v>
      </c>
      <c r="K31" s="21">
        <v>150</v>
      </c>
      <c r="L31" s="23"/>
      <c r="M31" s="23"/>
      <c r="N31" s="23"/>
      <c r="O31" s="23"/>
    </row>
    <row r="32" spans="2:24" x14ac:dyDescent="0.3">
      <c r="B32" s="4" t="s">
        <v>143</v>
      </c>
      <c r="C32" s="1">
        <v>863</v>
      </c>
      <c r="J32" s="4" t="s">
        <v>71</v>
      </c>
      <c r="K32" s="21">
        <f>ROUNDUP(MAX(150,2*C5/C6/60/(PI()/4*K9^2)*1000),0)</f>
        <v>263</v>
      </c>
      <c r="L32" s="23"/>
      <c r="M32" s="23"/>
      <c r="N32" s="23"/>
      <c r="O32" s="23"/>
    </row>
    <row r="33" spans="2:15" x14ac:dyDescent="0.3">
      <c r="B33" s="4" t="s">
        <v>144</v>
      </c>
      <c r="C33" s="1">
        <v>863</v>
      </c>
      <c r="J33" s="4" t="s">
        <v>70</v>
      </c>
      <c r="K33" s="21">
        <f>ROUNDUP(MAX(350,4*C5/C6/60/(PI()/4*K9^2)*1000),0)</f>
        <v>525</v>
      </c>
      <c r="L33" s="23"/>
      <c r="M33" s="23"/>
      <c r="N33" s="23"/>
      <c r="O33" s="23"/>
    </row>
    <row r="34" spans="2:15" x14ac:dyDescent="0.3">
      <c r="B34" s="4" t="s">
        <v>145</v>
      </c>
      <c r="C34" s="1">
        <v>203.2</v>
      </c>
      <c r="J34" s="4" t="s">
        <v>69</v>
      </c>
      <c r="K34" s="21">
        <f>ROUNDUP(MAX(200,2*C5/C6/60/(PI()/4*K9^2)*1000),0)</f>
        <v>263</v>
      </c>
      <c r="L34" s="23"/>
      <c r="M34" s="23"/>
      <c r="N34" s="23"/>
      <c r="O34" s="23"/>
    </row>
    <row r="35" spans="2:15" x14ac:dyDescent="0.3">
      <c r="B35" s="3"/>
      <c r="C35" s="1"/>
      <c r="J35" s="4" t="s">
        <v>68</v>
      </c>
      <c r="K35" s="21">
        <f>400+K13*25.4/2</f>
        <v>831.8</v>
      </c>
      <c r="L35" s="23"/>
      <c r="M35" s="23"/>
      <c r="N35" s="23"/>
      <c r="O35" s="23"/>
    </row>
    <row r="36" spans="2:15" x14ac:dyDescent="0.3">
      <c r="B36" s="3"/>
      <c r="C36" s="1"/>
      <c r="J36" s="4" t="s">
        <v>67</v>
      </c>
      <c r="K36" s="21">
        <v>0</v>
      </c>
      <c r="L36" s="23"/>
      <c r="M36" s="23"/>
      <c r="N36" s="23"/>
      <c r="O36" s="23"/>
    </row>
    <row r="37" spans="2:15" x14ac:dyDescent="0.3">
      <c r="B37" s="4"/>
      <c r="C37" s="16" t="s">
        <v>73</v>
      </c>
      <c r="J37" s="4" t="s">
        <v>66</v>
      </c>
      <c r="K37" s="21">
        <v>0</v>
      </c>
      <c r="L37" s="23"/>
      <c r="M37" s="23"/>
      <c r="N37" s="23"/>
      <c r="O37" s="23"/>
    </row>
    <row r="38" spans="2:15" x14ac:dyDescent="0.3">
      <c r="B38" s="4" t="s">
        <v>64</v>
      </c>
      <c r="C38" s="15">
        <f>C22/C21</f>
        <v>1.4402985074626866</v>
      </c>
      <c r="J38" s="4" t="s">
        <v>65</v>
      </c>
      <c r="K38" s="21">
        <f>MAX(0.6*K10*1000,800)</f>
        <v>2378.3009743884313</v>
      </c>
      <c r="L38" s="23"/>
      <c r="M38" s="23"/>
      <c r="N38" s="23"/>
      <c r="O38" s="23"/>
    </row>
    <row r="39" spans="2:15" x14ac:dyDescent="0.3">
      <c r="B39" s="4" t="s">
        <v>141</v>
      </c>
      <c r="C39" s="15">
        <v>2525</v>
      </c>
      <c r="J39" s="4" t="s">
        <v>100</v>
      </c>
      <c r="K39" s="21">
        <f>SUM(K31:K38)</f>
        <v>4411.1009743884315</v>
      </c>
      <c r="L39" s="23"/>
      <c r="M39" s="23"/>
      <c r="N39" s="23"/>
      <c r="O39" s="23"/>
    </row>
    <row r="40" spans="2:15" x14ac:dyDescent="0.3">
      <c r="B40" s="4"/>
      <c r="C40" s="15"/>
      <c r="J40" s="4" t="s">
        <v>64</v>
      </c>
      <c r="K40" s="21">
        <f>K39*0.001/K10</f>
        <v>1.1128366901979825</v>
      </c>
      <c r="L40" s="23"/>
      <c r="M40" s="23"/>
      <c r="N40" s="23"/>
      <c r="O40" s="23"/>
    </row>
    <row r="41" spans="2:15" x14ac:dyDescent="0.3">
      <c r="B41" s="4"/>
      <c r="C41" s="15"/>
      <c r="J41" s="22" t="s">
        <v>99</v>
      </c>
      <c r="K41" s="17"/>
      <c r="L41" s="17"/>
      <c r="M41" s="17"/>
      <c r="N41" s="17"/>
      <c r="O41" s="17"/>
    </row>
    <row r="42" spans="2:15" x14ac:dyDescent="0.3">
      <c r="B42" s="4" t="s">
        <v>68</v>
      </c>
      <c r="C42" s="15">
        <v>1025</v>
      </c>
    </row>
    <row r="43" spans="2:15" x14ac:dyDescent="0.3">
      <c r="B43" s="4" t="s">
        <v>69</v>
      </c>
      <c r="C43" s="15">
        <v>200</v>
      </c>
    </row>
    <row r="44" spans="2:15" x14ac:dyDescent="0.3">
      <c r="B44" s="4" t="s">
        <v>70</v>
      </c>
      <c r="C44" s="15">
        <v>375</v>
      </c>
    </row>
    <row r="45" spans="2:15" x14ac:dyDescent="0.3">
      <c r="B45" s="4" t="s">
        <v>71</v>
      </c>
      <c r="C45" s="15">
        <v>200</v>
      </c>
    </row>
    <row r="46" spans="2:15" x14ac:dyDescent="0.3">
      <c r="B46" s="4" t="s">
        <v>72</v>
      </c>
      <c r="C46" s="15">
        <v>500</v>
      </c>
    </row>
    <row r="47" spans="2:15" x14ac:dyDescent="0.3">
      <c r="B47" s="4" t="s">
        <v>75</v>
      </c>
      <c r="C47" s="15"/>
    </row>
    <row r="48" spans="2:15" x14ac:dyDescent="0.3">
      <c r="B48" s="4" t="s">
        <v>76</v>
      </c>
      <c r="C48" s="15">
        <f xml:space="preserve"> 875 +C34</f>
        <v>1078.2</v>
      </c>
    </row>
    <row r="49" spans="2:3" x14ac:dyDescent="0.3">
      <c r="B49" s="4" t="s">
        <v>78</v>
      </c>
      <c r="C49" s="15"/>
    </row>
    <row r="50" spans="2:3" x14ac:dyDescent="0.3">
      <c r="B50" s="3"/>
      <c r="C50" s="15"/>
    </row>
  </sheetData>
  <phoneticPr fontId="14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V53"/>
  <sheetViews>
    <sheetView workbookViewId="0">
      <selection activeCell="K16" sqref="K16"/>
    </sheetView>
  </sheetViews>
  <sheetFormatPr defaultRowHeight="14.4" x14ac:dyDescent="0.3"/>
  <cols>
    <col min="2" max="2" width="22.88671875" customWidth="1"/>
    <col min="3" max="3" width="20.6640625" customWidth="1"/>
    <col min="4" max="4" width="18.109375" customWidth="1"/>
    <col min="10" max="10" width="20.109375" customWidth="1"/>
    <col min="11" max="11" width="12.88671875" customWidth="1"/>
    <col min="12" max="13" width="13.109375" customWidth="1"/>
    <col min="22" max="22" width="12.6640625" customWidth="1"/>
  </cols>
  <sheetData>
    <row r="2" spans="2:14" ht="15" thickBot="1" x14ac:dyDescent="0.35"/>
    <row r="3" spans="2:14" ht="15.6" thickTop="1" thickBot="1" x14ac:dyDescent="0.35">
      <c r="B3" s="8"/>
      <c r="C3" s="9" t="s">
        <v>3</v>
      </c>
      <c r="D3" s="8"/>
      <c r="K3" s="10" t="s">
        <v>79</v>
      </c>
      <c r="L3" s="10" t="s">
        <v>86</v>
      </c>
      <c r="M3" s="34"/>
    </row>
    <row r="4" spans="2:14" ht="15" thickTop="1" x14ac:dyDescent="0.3">
      <c r="B4" s="5" t="s">
        <v>2</v>
      </c>
      <c r="C4" s="6" t="s">
        <v>0</v>
      </c>
      <c r="D4" s="7" t="s">
        <v>1</v>
      </c>
      <c r="J4" s="4" t="s">
        <v>2</v>
      </c>
      <c r="K4" s="19" t="s">
        <v>23</v>
      </c>
      <c r="L4" s="18" t="s">
        <v>23</v>
      </c>
      <c r="M4" s="18" t="s">
        <v>147</v>
      </c>
    </row>
    <row r="5" spans="2:14" x14ac:dyDescent="0.3">
      <c r="B5" s="4" t="s">
        <v>16</v>
      </c>
      <c r="C5" s="1">
        <v>68415</v>
      </c>
      <c r="D5" s="2">
        <v>282206</v>
      </c>
      <c r="F5">
        <f>Table181417[[#This Row],[INLET]]/C6/60</f>
        <v>1.1529322548028311</v>
      </c>
      <c r="J5" s="4" t="s">
        <v>80</v>
      </c>
      <c r="K5" s="19">
        <f t="shared" ref="K5" si="0">(C6/D6)-1</f>
        <v>91.429906542056088</v>
      </c>
      <c r="L5" s="18">
        <f>Table5[[#This Row],[OUTPUT]]</f>
        <v>91.429906542056088</v>
      </c>
      <c r="M5" s="23"/>
    </row>
    <row r="6" spans="2:14" x14ac:dyDescent="0.3">
      <c r="B6" s="4" t="s">
        <v>22</v>
      </c>
      <c r="C6" s="1">
        <v>989</v>
      </c>
      <c r="D6" s="2">
        <v>10.7</v>
      </c>
      <c r="F6">
        <f>3.14*(3.5^2)/4</f>
        <v>9.6162500000000009</v>
      </c>
      <c r="J6" s="4" t="s">
        <v>81</v>
      </c>
      <c r="K6" s="19">
        <v>0.95</v>
      </c>
      <c r="L6" s="18">
        <f>0.048*((Table181417[[#This Row],[INLET]]-D6)/D6)^0.5</f>
        <v>0.45897113708042386</v>
      </c>
      <c r="M6" s="23">
        <f xml:space="preserve"> (0.09)*SQRT(K5)</f>
        <v>0.86057088202579468</v>
      </c>
      <c r="N6">
        <f>0.048*SQRT(K5)</f>
        <v>0.45897113708042386</v>
      </c>
    </row>
    <row r="7" spans="2:14" x14ac:dyDescent="0.3">
      <c r="B7" s="4" t="s">
        <v>17</v>
      </c>
      <c r="C7" s="1"/>
      <c r="D7" s="2">
        <v>11.44</v>
      </c>
      <c r="F7">
        <f>F5*5/F6</f>
        <v>0.59947082012366104</v>
      </c>
      <c r="J7" s="4" t="s">
        <v>82</v>
      </c>
      <c r="K7" s="19">
        <f>K6*0.85</f>
        <v>0.8075</v>
      </c>
      <c r="L7" s="18">
        <f>L6*L11</f>
        <v>0.78025093303672055</v>
      </c>
      <c r="M7" s="23">
        <f>1*M6</f>
        <v>0.86057088202579468</v>
      </c>
    </row>
    <row r="8" spans="2:14" x14ac:dyDescent="0.3">
      <c r="B8" s="4" t="s">
        <v>18</v>
      </c>
      <c r="C8" s="1">
        <v>48</v>
      </c>
      <c r="D8" s="2">
        <v>48</v>
      </c>
      <c r="J8" s="4" t="s">
        <v>83</v>
      </c>
      <c r="K8" s="19">
        <f>D5/D6/3600</f>
        <v>7.3262201453790246</v>
      </c>
      <c r="L8" s="18">
        <f>Table5[[#This Row],[OUTPUT]]</f>
        <v>7.3262201453790246</v>
      </c>
      <c r="M8" s="23">
        <f>Table5[[#This Row],[OUTPUT]]</f>
        <v>7.3262201453790246</v>
      </c>
    </row>
    <row r="9" spans="2:14" x14ac:dyDescent="0.3">
      <c r="B9" s="4" t="s">
        <v>19</v>
      </c>
      <c r="C9" s="1">
        <v>24</v>
      </c>
      <c r="D9" s="2">
        <v>24</v>
      </c>
      <c r="J9" s="4" t="s">
        <v>84</v>
      </c>
      <c r="K9" s="19">
        <f>(4*K8/K7/3.14)^0.5</f>
        <v>3.3996474988287768</v>
      </c>
      <c r="L9" s="18">
        <f>(4*L8/L7/3.14)^0.5</f>
        <v>3.4585017964775835</v>
      </c>
      <c r="M9" s="18">
        <f>(4*M8/M7/3.14)^0.5</f>
        <v>3.2931524066042046</v>
      </c>
    </row>
    <row r="10" spans="2:14" x14ac:dyDescent="0.3">
      <c r="B10" s="4" t="s">
        <v>20</v>
      </c>
      <c r="C10" s="1">
        <v>100</v>
      </c>
      <c r="D10" s="2">
        <v>100</v>
      </c>
      <c r="J10" s="4" t="s">
        <v>85</v>
      </c>
      <c r="K10" s="19">
        <f>K9+0.15</f>
        <v>3.5496474988287767</v>
      </c>
      <c r="L10" s="18">
        <f>L9+0.15</f>
        <v>3.6085017964775834</v>
      </c>
      <c r="M10" s="18">
        <f>M9+0.15</f>
        <v>3.4431524066042045</v>
      </c>
    </row>
    <row r="11" spans="2:14" x14ac:dyDescent="0.3">
      <c r="B11" s="4" t="s">
        <v>21</v>
      </c>
      <c r="C11" s="1">
        <v>29</v>
      </c>
      <c r="D11" s="2">
        <v>29</v>
      </c>
      <c r="J11" s="4" t="s">
        <v>87</v>
      </c>
      <c r="K11" s="19"/>
      <c r="L11" s="18">
        <v>1.7</v>
      </c>
      <c r="M11" s="23"/>
    </row>
    <row r="12" spans="2:14" x14ac:dyDescent="0.3">
      <c r="B12" s="4"/>
      <c r="C12" s="1"/>
      <c r="D12" s="2"/>
      <c r="J12" s="22" t="s">
        <v>88</v>
      </c>
      <c r="K12" s="1" t="s">
        <v>3</v>
      </c>
      <c r="L12" s="1"/>
      <c r="M12" s="23"/>
    </row>
    <row r="13" spans="2:14" x14ac:dyDescent="0.3">
      <c r="B13" s="4"/>
      <c r="C13" s="1"/>
      <c r="D13" s="2"/>
      <c r="J13" s="4" t="s">
        <v>89</v>
      </c>
      <c r="K13" s="19">
        <v>30</v>
      </c>
      <c r="L13" s="18"/>
      <c r="M13" s="23"/>
    </row>
    <row r="14" spans="2:14" x14ac:dyDescent="0.3">
      <c r="B14" s="4"/>
      <c r="C14" s="1"/>
      <c r="D14" s="2"/>
      <c r="J14" s="4" t="s">
        <v>90</v>
      </c>
      <c r="K14" s="19">
        <f>PI()/4*(K13*25.4/1000)^2</f>
        <v>0.45603673118774801</v>
      </c>
      <c r="L14" s="18"/>
      <c r="M14" s="23"/>
    </row>
    <row r="15" spans="2:14" x14ac:dyDescent="0.3">
      <c r="B15" s="4"/>
      <c r="C15" s="1"/>
      <c r="D15" s="2"/>
      <c r="J15" s="4" t="s">
        <v>91</v>
      </c>
      <c r="K15" s="19">
        <f>(C5+D5)/((C5/C6)+(D5/D6))</f>
        <v>13.259216529275667</v>
      </c>
      <c r="L15" s="18"/>
      <c r="M15" s="23"/>
    </row>
    <row r="16" spans="2:14" x14ac:dyDescent="0.3">
      <c r="B16" s="4"/>
      <c r="C16" s="1"/>
      <c r="D16" s="2"/>
      <c r="J16" s="4" t="s">
        <v>92</v>
      </c>
      <c r="K16" s="19">
        <f xml:space="preserve"> (C5+D5)/K15/K14/3600</f>
        <v>16.107114143696013</v>
      </c>
      <c r="L16" s="18"/>
      <c r="M16" s="23"/>
    </row>
    <row r="17" spans="2:22" x14ac:dyDescent="0.3">
      <c r="B17" s="4"/>
      <c r="C17" s="1"/>
      <c r="D17" s="2"/>
      <c r="J17" s="4" t="s">
        <v>93</v>
      </c>
      <c r="K17" s="19">
        <f>K15*(K16^2)</f>
        <v>3439.9595483045737</v>
      </c>
      <c r="L17" s="18"/>
      <c r="M17" s="23"/>
      <c r="N17" t="s">
        <v>95</v>
      </c>
      <c r="O17" s="12" t="s">
        <v>142</v>
      </c>
      <c r="P17" s="12"/>
      <c r="Q17" s="12"/>
      <c r="R17" s="12"/>
      <c r="S17" s="12"/>
      <c r="T17" s="12"/>
      <c r="U17" s="12"/>
      <c r="V17" s="12"/>
    </row>
    <row r="18" spans="2:22" ht="15" thickBot="1" x14ac:dyDescent="0.35">
      <c r="J18" s="4" t="s">
        <v>94</v>
      </c>
      <c r="K18" s="19">
        <f>D6*((D5/D6/3600/K14)^2)</f>
        <v>2761.4937131994639</v>
      </c>
      <c r="L18" s="18"/>
      <c r="M18" s="23"/>
      <c r="N18" t="s">
        <v>96</v>
      </c>
    </row>
    <row r="19" spans="2:22" ht="15" thickTop="1" x14ac:dyDescent="0.3">
      <c r="C19" s="10" t="s">
        <v>4</v>
      </c>
      <c r="J19" s="22" t="s">
        <v>88</v>
      </c>
      <c r="K19" s="1" t="s">
        <v>97</v>
      </c>
      <c r="L19" s="1"/>
      <c r="M19" s="23"/>
    </row>
    <row r="20" spans="2:22" x14ac:dyDescent="0.3">
      <c r="B20" s="4" t="s">
        <v>2</v>
      </c>
      <c r="C20" s="1" t="s">
        <v>9</v>
      </c>
      <c r="J20" s="4" t="s">
        <v>89</v>
      </c>
      <c r="K20" s="19">
        <v>28</v>
      </c>
      <c r="L20" s="18"/>
      <c r="M20" s="23"/>
    </row>
    <row r="21" spans="2:22" x14ac:dyDescent="0.3">
      <c r="B21" s="4" t="s">
        <v>24</v>
      </c>
      <c r="C21" s="1">
        <v>3500</v>
      </c>
      <c r="J21" s="4" t="s">
        <v>90</v>
      </c>
      <c r="K21" s="20">
        <f>PI()/4*(K20*25.4/1000)^2</f>
        <v>0.39725866361243817</v>
      </c>
      <c r="L21" s="18"/>
      <c r="M21" s="23"/>
    </row>
    <row r="22" spans="2:22" x14ac:dyDescent="0.3">
      <c r="B22" s="4" t="s">
        <v>5</v>
      </c>
      <c r="C22" s="1">
        <v>4825</v>
      </c>
      <c r="J22" s="4" t="s">
        <v>82</v>
      </c>
      <c r="K22" s="20">
        <f>D5/D6/3600/K21</f>
        <v>18.441939261333307</v>
      </c>
      <c r="L22" s="18"/>
      <c r="M22" s="23"/>
    </row>
    <row r="23" spans="2:22" x14ac:dyDescent="0.3">
      <c r="B23" s="4" t="s">
        <v>6</v>
      </c>
      <c r="C23" s="1" t="s">
        <v>25</v>
      </c>
      <c r="J23" s="4"/>
      <c r="K23" s="21"/>
      <c r="L23" s="18"/>
      <c r="M23" s="23"/>
    </row>
    <row r="24" spans="2:22" x14ac:dyDescent="0.3">
      <c r="B24" s="4" t="s">
        <v>7</v>
      </c>
      <c r="C24" s="1" t="s">
        <v>26</v>
      </c>
      <c r="J24" s="4"/>
      <c r="K24" s="21"/>
      <c r="L24" s="23"/>
      <c r="M24" s="23"/>
    </row>
    <row r="25" spans="2:22" x14ac:dyDescent="0.3">
      <c r="B25" s="4" t="s">
        <v>8</v>
      </c>
      <c r="C25" s="1" t="s">
        <v>26</v>
      </c>
      <c r="J25" s="4" t="s">
        <v>94</v>
      </c>
      <c r="K25" s="21">
        <f>D6*((D5/D6/3600/K21)^2)</f>
        <v>3639.1248237901632</v>
      </c>
      <c r="L25" s="23"/>
      <c r="M25" s="23"/>
      <c r="N25" t="s">
        <v>96</v>
      </c>
    </row>
    <row r="26" spans="2:22" x14ac:dyDescent="0.3">
      <c r="B26" s="4" t="s">
        <v>10</v>
      </c>
      <c r="C26" s="1">
        <v>500</v>
      </c>
      <c r="J26" s="22" t="s">
        <v>88</v>
      </c>
      <c r="K26" s="24" t="s">
        <v>0</v>
      </c>
      <c r="L26" s="24"/>
      <c r="M26" s="23"/>
    </row>
    <row r="27" spans="2:22" x14ac:dyDescent="0.3">
      <c r="B27" s="4" t="s">
        <v>11</v>
      </c>
      <c r="C27" s="1">
        <v>625</v>
      </c>
      <c r="J27" s="4" t="s">
        <v>89</v>
      </c>
      <c r="K27" s="21">
        <v>8</v>
      </c>
      <c r="L27" s="23"/>
      <c r="M27" s="23"/>
    </row>
    <row r="28" spans="2:22" x14ac:dyDescent="0.3">
      <c r="B28" s="4" t="s">
        <v>12</v>
      </c>
      <c r="C28" s="1">
        <v>875</v>
      </c>
      <c r="J28" s="4" t="s">
        <v>90</v>
      </c>
      <c r="K28" s="21">
        <f>PI()/4*(K27*25.4/1000)^2</f>
        <v>3.2429278662239852E-2</v>
      </c>
      <c r="L28" s="23"/>
      <c r="M28" s="23"/>
    </row>
    <row r="29" spans="2:22" x14ac:dyDescent="0.3">
      <c r="B29" s="4" t="s">
        <v>13</v>
      </c>
      <c r="C29" s="1">
        <v>1000</v>
      </c>
      <c r="J29" s="4" t="s">
        <v>98</v>
      </c>
      <c r="K29" s="21">
        <f>C5/C6/3600/K28</f>
        <v>0.59253669439220236</v>
      </c>
      <c r="L29" s="23"/>
      <c r="M29" s="23"/>
    </row>
    <row r="30" spans="2:22" x14ac:dyDescent="0.3">
      <c r="B30" s="4" t="s">
        <v>14</v>
      </c>
      <c r="C30" s="1" t="s">
        <v>27</v>
      </c>
      <c r="J30" s="22" t="s">
        <v>99</v>
      </c>
      <c r="K30" s="24"/>
      <c r="L30" s="24"/>
      <c r="M30" s="23"/>
    </row>
    <row r="31" spans="2:22" x14ac:dyDescent="0.3">
      <c r="B31" s="4" t="s">
        <v>15</v>
      </c>
      <c r="C31" s="1" t="s">
        <v>28</v>
      </c>
      <c r="J31" s="4" t="s">
        <v>72</v>
      </c>
      <c r="K31" s="21">
        <v>150</v>
      </c>
      <c r="L31" s="23"/>
      <c r="M31" s="23"/>
    </row>
    <row r="32" spans="2:22" x14ac:dyDescent="0.3">
      <c r="B32" s="4" t="s">
        <v>29</v>
      </c>
      <c r="C32" s="1" t="s">
        <v>30</v>
      </c>
      <c r="J32" s="4" t="s">
        <v>71</v>
      </c>
      <c r="K32" s="21">
        <f>ROUNDUP(MAX(150,2*C5/C6/60/(PI()/4*K9^2)*1000),0)</f>
        <v>255</v>
      </c>
      <c r="L32" s="23"/>
      <c r="M32" s="23"/>
    </row>
    <row r="33" spans="2:13" x14ac:dyDescent="0.3">
      <c r="B33" s="4" t="s">
        <v>6</v>
      </c>
      <c r="C33" s="1" t="s">
        <v>34</v>
      </c>
      <c r="J33" s="4" t="s">
        <v>70</v>
      </c>
      <c r="K33" s="21">
        <f>ROUNDUP(MAX(350,4*C5/C6/60/(PI()/4*K9^2)*1000),0)</f>
        <v>509</v>
      </c>
      <c r="L33" s="23"/>
      <c r="M33" s="23"/>
    </row>
    <row r="34" spans="2:13" x14ac:dyDescent="0.3">
      <c r="B34" s="4" t="s">
        <v>35</v>
      </c>
      <c r="C34" s="1">
        <v>3500</v>
      </c>
      <c r="J34" s="4" t="s">
        <v>69</v>
      </c>
      <c r="K34" s="21">
        <f>ROUNDUP(MAX(200,2*C5/C6/60/(PI()/4*K9^2)*1000),0)</f>
        <v>255</v>
      </c>
      <c r="L34" s="23"/>
      <c r="M34" s="23"/>
    </row>
    <row r="35" spans="2:13" x14ac:dyDescent="0.3">
      <c r="B35" s="4" t="s">
        <v>31</v>
      </c>
      <c r="C35" s="1">
        <v>150</v>
      </c>
      <c r="J35" s="4" t="s">
        <v>68</v>
      </c>
      <c r="K35" s="21">
        <f>400+(K13*25.4/2)</f>
        <v>781</v>
      </c>
      <c r="L35" s="23"/>
      <c r="M35" s="23"/>
    </row>
    <row r="36" spans="2:13" x14ac:dyDescent="0.3">
      <c r="B36" s="4" t="s">
        <v>32</v>
      </c>
      <c r="C36" s="1" t="s">
        <v>36</v>
      </c>
      <c r="J36" s="4" t="s">
        <v>67</v>
      </c>
      <c r="K36" s="21">
        <f>MAX(0.5*K10*1000,600)</f>
        <v>1774.8237494143884</v>
      </c>
      <c r="L36" s="23"/>
      <c r="M36" s="23"/>
    </row>
    <row r="37" spans="2:13" x14ac:dyDescent="0.3">
      <c r="B37" s="4" t="s">
        <v>33</v>
      </c>
      <c r="C37" s="1">
        <v>525</v>
      </c>
      <c r="J37" s="4" t="s">
        <v>66</v>
      </c>
      <c r="K37" s="21">
        <v>150</v>
      </c>
      <c r="L37" s="23"/>
      <c r="M37" s="23"/>
    </row>
    <row r="38" spans="2:13" x14ac:dyDescent="0.3">
      <c r="B38" s="4" t="s">
        <v>74</v>
      </c>
      <c r="C38" s="1">
        <v>863.6</v>
      </c>
      <c r="J38" s="4" t="s">
        <v>65</v>
      </c>
      <c r="K38" s="21">
        <f>MAX(0.15*K10*1000,400)</f>
        <v>532.44712482431646</v>
      </c>
      <c r="L38" s="23"/>
      <c r="M38" s="23"/>
    </row>
    <row r="39" spans="2:13" x14ac:dyDescent="0.3">
      <c r="B39" s="4" t="s">
        <v>77</v>
      </c>
      <c r="C39" s="1">
        <v>711</v>
      </c>
      <c r="J39" s="4" t="s">
        <v>100</v>
      </c>
      <c r="K39" s="21">
        <f>SUM(K31:K38)</f>
        <v>4407.2708742387049</v>
      </c>
      <c r="L39" s="23"/>
      <c r="M39" s="23"/>
    </row>
    <row r="40" spans="2:13" x14ac:dyDescent="0.3">
      <c r="B40" s="32"/>
      <c r="C40" s="16" t="s">
        <v>73</v>
      </c>
      <c r="J40" s="4" t="s">
        <v>64</v>
      </c>
      <c r="K40" s="21">
        <f>K39*0.001/K10</f>
        <v>1.2416080401484668</v>
      </c>
      <c r="L40" s="23"/>
      <c r="M40" s="23"/>
    </row>
    <row r="41" spans="2:13" x14ac:dyDescent="0.3">
      <c r="B41" s="32" t="s">
        <v>64</v>
      </c>
      <c r="C41" s="15">
        <f>C22/C21</f>
        <v>1.3785714285714286</v>
      </c>
      <c r="J41" s="22" t="s">
        <v>99</v>
      </c>
      <c r="K41" s="17"/>
      <c r="L41" s="17"/>
      <c r="M41" s="17"/>
    </row>
    <row r="42" spans="2:13" x14ac:dyDescent="0.3">
      <c r="B42" s="32" t="s">
        <v>65</v>
      </c>
      <c r="C42" s="15">
        <v>525</v>
      </c>
    </row>
    <row r="43" spans="2:13" x14ac:dyDescent="0.3">
      <c r="B43" s="32" t="s">
        <v>66</v>
      </c>
      <c r="C43" s="15">
        <v>150</v>
      </c>
    </row>
    <row r="44" spans="2:13" x14ac:dyDescent="0.3">
      <c r="B44" s="32" t="s">
        <v>67</v>
      </c>
      <c r="C44" s="15">
        <v>2100</v>
      </c>
    </row>
    <row r="45" spans="2:13" x14ac:dyDescent="0.3">
      <c r="B45" s="32" t="s">
        <v>68</v>
      </c>
      <c r="C45" s="15">
        <v>1050</v>
      </c>
    </row>
    <row r="46" spans="2:13" x14ac:dyDescent="0.3">
      <c r="B46" s="32" t="s">
        <v>69</v>
      </c>
      <c r="C46" s="15">
        <f>C29-C28</f>
        <v>125</v>
      </c>
    </row>
    <row r="47" spans="2:13" x14ac:dyDescent="0.3">
      <c r="B47" s="32" t="s">
        <v>70</v>
      </c>
      <c r="C47" s="15">
        <f>C28-C27</f>
        <v>250</v>
      </c>
    </row>
    <row r="48" spans="2:13" x14ac:dyDescent="0.3">
      <c r="B48" s="32" t="s">
        <v>71</v>
      </c>
      <c r="C48" s="15">
        <f>C27-C26</f>
        <v>125</v>
      </c>
    </row>
    <row r="49" spans="2:3" x14ac:dyDescent="0.3">
      <c r="B49" s="32" t="s">
        <v>72</v>
      </c>
      <c r="C49" s="15">
        <v>500</v>
      </c>
    </row>
    <row r="50" spans="2:3" x14ac:dyDescent="0.3">
      <c r="B50" s="32" t="s">
        <v>75</v>
      </c>
      <c r="C50" s="15">
        <f xml:space="preserve"> 0.39 * SQRT((C6-D6/D6))</f>
        <v>12.258662243491335</v>
      </c>
    </row>
    <row r="51" spans="2:3" x14ac:dyDescent="0.3">
      <c r="B51" s="32" t="s">
        <v>76</v>
      </c>
      <c r="C51" s="15">
        <f xml:space="preserve"> 875 +C37</f>
        <v>1400</v>
      </c>
    </row>
    <row r="52" spans="2:3" x14ac:dyDescent="0.3">
      <c r="B52" s="32" t="s">
        <v>78</v>
      </c>
      <c r="C52" s="15"/>
    </row>
    <row r="53" spans="2:3" x14ac:dyDescent="0.3">
      <c r="B53" s="33"/>
      <c r="C53" s="15"/>
    </row>
  </sheetData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V56"/>
  <sheetViews>
    <sheetView topLeftCell="B1" workbookViewId="0">
      <selection activeCell="F7" sqref="F7"/>
    </sheetView>
  </sheetViews>
  <sheetFormatPr defaultRowHeight="14.4" x14ac:dyDescent="0.3"/>
  <cols>
    <col min="2" max="2" width="24.6640625" customWidth="1"/>
    <col min="3" max="3" width="23.6640625" customWidth="1"/>
    <col min="4" max="4" width="21.33203125" customWidth="1"/>
    <col min="5" max="5" width="18.33203125" customWidth="1"/>
    <col min="6" max="6" width="12" bestFit="1" customWidth="1"/>
    <col min="10" max="10" width="19.88671875" customWidth="1"/>
    <col min="11" max="11" width="14.6640625" customWidth="1"/>
    <col min="12" max="13" width="14.33203125" customWidth="1"/>
    <col min="22" max="22" width="12.6640625" customWidth="1"/>
  </cols>
  <sheetData>
    <row r="2" spans="2:13" ht="15" thickBot="1" x14ac:dyDescent="0.35"/>
    <row r="3" spans="2:13" ht="15.6" thickTop="1" thickBot="1" x14ac:dyDescent="0.35">
      <c r="B3" s="8"/>
      <c r="C3" s="9" t="s">
        <v>3</v>
      </c>
      <c r="D3" s="8"/>
      <c r="K3" s="10" t="s">
        <v>79</v>
      </c>
      <c r="L3" s="10" t="s">
        <v>86</v>
      </c>
      <c r="M3" s="34"/>
    </row>
    <row r="4" spans="2:13" ht="15" thickTop="1" x14ac:dyDescent="0.3">
      <c r="B4" s="5" t="s">
        <v>2</v>
      </c>
      <c r="C4" s="6" t="s">
        <v>0</v>
      </c>
      <c r="D4" s="7" t="s">
        <v>1</v>
      </c>
      <c r="J4" s="4" t="s">
        <v>2</v>
      </c>
      <c r="K4" s="19" t="s">
        <v>23</v>
      </c>
      <c r="L4" s="18" t="s">
        <v>23</v>
      </c>
      <c r="M4" s="18" t="s">
        <v>147</v>
      </c>
    </row>
    <row r="5" spans="2:13" x14ac:dyDescent="0.3">
      <c r="B5" s="4" t="s">
        <v>16</v>
      </c>
      <c r="C5" s="1">
        <v>246704</v>
      </c>
      <c r="D5" s="2">
        <v>878905</v>
      </c>
      <c r="F5">
        <f>Table1814172026[[#This Row],[INLET]]/C6/60</f>
        <v>5.4316160281814181</v>
      </c>
      <c r="J5" s="4" t="s">
        <v>80</v>
      </c>
      <c r="K5" s="19">
        <f t="shared" ref="K5" si="0">(C6/D6)-1</f>
        <v>20.566951566951566</v>
      </c>
      <c r="L5" s="18">
        <f>Table549[[#This Row],[OUTPUT]]</f>
        <v>20.566951566951566</v>
      </c>
      <c r="M5" s="23">
        <f>0.0825*SQRT(Table549[[#This Row],[OUTPUT]])</f>
        <v>0.37414410873694659</v>
      </c>
    </row>
    <row r="6" spans="2:13" x14ac:dyDescent="0.3">
      <c r="B6" s="4" t="s">
        <v>22</v>
      </c>
      <c r="C6" s="1">
        <v>757</v>
      </c>
      <c r="D6" s="2">
        <v>35.1</v>
      </c>
      <c r="F6">
        <f>3.14*((M10)^2)/4</f>
        <v>19.754310448341375</v>
      </c>
      <c r="J6" s="4" t="s">
        <v>81</v>
      </c>
      <c r="K6" s="19">
        <v>0.5</v>
      </c>
      <c r="L6" s="18">
        <f>0.048*((Table181417[[#This Row],[INLET]]-D6)/D6)^0.5</f>
        <v>0.25022984306228219</v>
      </c>
      <c r="M6" s="23"/>
    </row>
    <row r="7" spans="2:13" x14ac:dyDescent="0.3">
      <c r="B7" s="4" t="s">
        <v>17</v>
      </c>
      <c r="C7" s="1"/>
      <c r="D7" s="2">
        <v>11.4</v>
      </c>
      <c r="F7">
        <f>F5*5/F6</f>
        <v>1.3747926161192507</v>
      </c>
      <c r="J7" s="4" t="s">
        <v>82</v>
      </c>
      <c r="K7" s="19">
        <f>K6*0.85</f>
        <v>0.42499999999999999</v>
      </c>
      <c r="L7" s="18">
        <f>L6*L11</f>
        <v>0.42539073320587972</v>
      </c>
      <c r="M7" s="23">
        <f>M5</f>
        <v>0.37414410873694659</v>
      </c>
    </row>
    <row r="8" spans="2:13" x14ac:dyDescent="0.3">
      <c r="B8" s="4" t="s">
        <v>18</v>
      </c>
      <c r="C8" s="1">
        <v>48</v>
      </c>
      <c r="D8" s="2">
        <v>48</v>
      </c>
      <c r="J8" s="4" t="s">
        <v>83</v>
      </c>
      <c r="K8" s="19">
        <f>D5/D6/3600</f>
        <v>6.9555634694523585</v>
      </c>
      <c r="L8" s="18">
        <f>Table549[[#This Row],[OUTPUT]]</f>
        <v>6.9555634694523585</v>
      </c>
      <c r="M8" s="23">
        <f>Table654[[#This Row],[OUTPUT]]</f>
        <v>6.9555634694523585</v>
      </c>
    </row>
    <row r="9" spans="2:13" x14ac:dyDescent="0.3">
      <c r="B9" s="4" t="s">
        <v>19</v>
      </c>
      <c r="C9" s="1">
        <v>83.7</v>
      </c>
      <c r="D9" s="2">
        <v>83.7</v>
      </c>
      <c r="J9" s="4" t="s">
        <v>84</v>
      </c>
      <c r="K9" s="19">
        <f>(4*K8/K7/3.14)^0.5</f>
        <v>4.5660100762419233</v>
      </c>
      <c r="L9" s="18">
        <f>(4*L8/L7/3.14)^0.5</f>
        <v>4.5639125909318397</v>
      </c>
      <c r="M9" s="23">
        <f>(4*M8/M7/3.14)^0.5</f>
        <v>4.8664456227278281</v>
      </c>
    </row>
    <row r="10" spans="2:13" x14ac:dyDescent="0.3">
      <c r="B10" s="4" t="s">
        <v>20</v>
      </c>
      <c r="C10" s="1">
        <v>100</v>
      </c>
      <c r="D10" s="2">
        <v>100</v>
      </c>
      <c r="J10" s="4" t="s">
        <v>85</v>
      </c>
      <c r="K10" s="19">
        <f>K9+0.15</f>
        <v>4.7160100762419237</v>
      </c>
      <c r="L10" s="18">
        <f>L9+0.15</f>
        <v>4.71391259093184</v>
      </c>
      <c r="M10" s="18">
        <f>M9+0.15</f>
        <v>5.0164456227278285</v>
      </c>
    </row>
    <row r="11" spans="2:13" x14ac:dyDescent="0.3">
      <c r="B11" s="4" t="s">
        <v>21</v>
      </c>
      <c r="C11" s="1">
        <v>99</v>
      </c>
      <c r="D11" s="2">
        <v>99</v>
      </c>
      <c r="J11" s="4" t="s">
        <v>87</v>
      </c>
      <c r="K11" s="19"/>
      <c r="L11" s="18">
        <v>1.7</v>
      </c>
      <c r="M11" s="23"/>
    </row>
    <row r="12" spans="2:13" x14ac:dyDescent="0.3">
      <c r="B12" s="4"/>
      <c r="C12" s="1"/>
      <c r="D12" s="2"/>
      <c r="J12" s="22" t="s">
        <v>88</v>
      </c>
      <c r="K12" s="1" t="s">
        <v>3</v>
      </c>
      <c r="L12" s="1"/>
      <c r="M12" s="23"/>
    </row>
    <row r="13" spans="2:13" x14ac:dyDescent="0.3">
      <c r="B13" s="4"/>
      <c r="C13" s="1"/>
      <c r="D13" s="2"/>
      <c r="J13" s="4" t="s">
        <v>89</v>
      </c>
      <c r="K13" s="19">
        <v>42</v>
      </c>
      <c r="L13" s="18"/>
      <c r="M13" s="23"/>
    </row>
    <row r="14" spans="2:13" x14ac:dyDescent="0.3">
      <c r="B14" s="4"/>
      <c r="C14" s="1"/>
      <c r="D14" s="2"/>
      <c r="J14" s="4" t="s">
        <v>90</v>
      </c>
      <c r="K14" s="19">
        <f>PI()/4*(K13*25.4/1000)^2</f>
        <v>0.893831993127986</v>
      </c>
      <c r="L14" s="18"/>
      <c r="M14" s="23"/>
    </row>
    <row r="15" spans="2:13" x14ac:dyDescent="0.3">
      <c r="B15" s="4"/>
      <c r="C15" s="1"/>
      <c r="D15" s="2"/>
      <c r="J15" s="4" t="s">
        <v>91</v>
      </c>
      <c r="K15" s="19">
        <f>(C5+D5)/((C5/C6)+(D5/D6))</f>
        <v>44.374844597822594</v>
      </c>
      <c r="L15" s="18"/>
      <c r="M15" s="23"/>
    </row>
    <row r="16" spans="2:13" x14ac:dyDescent="0.3">
      <c r="B16" s="4"/>
      <c r="C16" s="1"/>
      <c r="D16" s="2"/>
      <c r="J16" s="4" t="s">
        <v>92</v>
      </c>
      <c r="K16" s="19">
        <f xml:space="preserve"> (C5+D5)/K15/K14/3600</f>
        <v>7.8830143219615838</v>
      </c>
      <c r="L16" s="18"/>
      <c r="M16" s="23"/>
    </row>
    <row r="17" spans="2:22" x14ac:dyDescent="0.3">
      <c r="B17" s="4"/>
      <c r="C17" s="1"/>
      <c r="D17" s="2"/>
      <c r="J17" s="4" t="s">
        <v>93</v>
      </c>
      <c r="K17" s="19">
        <f>K15*(K16^2)</f>
        <v>2757.53781227229</v>
      </c>
      <c r="L17" s="18"/>
      <c r="M17" s="23"/>
      <c r="N17" t="s">
        <v>95</v>
      </c>
      <c r="O17" s="12" t="s">
        <v>142</v>
      </c>
      <c r="P17" s="12"/>
      <c r="Q17" s="12"/>
      <c r="R17" s="12"/>
      <c r="S17" s="12"/>
      <c r="T17" s="12"/>
      <c r="U17" s="12"/>
      <c r="V17" s="12"/>
    </row>
    <row r="18" spans="2:22" ht="15" thickBot="1" x14ac:dyDescent="0.35">
      <c r="J18" s="4" t="s">
        <v>94</v>
      </c>
      <c r="K18" s="19">
        <f>D6*((D5/D6/3600/K14)^2)</f>
        <v>2125.494382333924</v>
      </c>
      <c r="L18" s="18"/>
      <c r="M18" s="23"/>
      <c r="N18" t="s">
        <v>96</v>
      </c>
    </row>
    <row r="19" spans="2:22" ht="15" thickTop="1" x14ac:dyDescent="0.3">
      <c r="C19" s="10" t="s">
        <v>4</v>
      </c>
      <c r="J19" s="22" t="s">
        <v>88</v>
      </c>
      <c r="K19" s="1" t="s">
        <v>97</v>
      </c>
      <c r="L19" s="1"/>
      <c r="M19" s="23"/>
    </row>
    <row r="20" spans="2:22" x14ac:dyDescent="0.3">
      <c r="B20" s="4" t="s">
        <v>2</v>
      </c>
      <c r="C20" s="1" t="s">
        <v>9</v>
      </c>
      <c r="J20" s="4" t="s">
        <v>89</v>
      </c>
      <c r="K20" s="19">
        <v>30</v>
      </c>
      <c r="L20" s="18"/>
      <c r="M20" s="23"/>
    </row>
    <row r="21" spans="2:22" x14ac:dyDescent="0.3">
      <c r="B21" s="4" t="s">
        <v>24</v>
      </c>
      <c r="C21" s="1">
        <v>4900</v>
      </c>
      <c r="J21" s="4" t="s">
        <v>90</v>
      </c>
      <c r="K21" s="19">
        <f>PI()/4*(K20*25.4/1000)^2</f>
        <v>0.45603673118774801</v>
      </c>
      <c r="L21" s="18"/>
      <c r="M21" s="23"/>
    </row>
    <row r="22" spans="2:22" x14ac:dyDescent="0.3">
      <c r="B22" s="4" t="s">
        <v>5</v>
      </c>
      <c r="C22" s="1">
        <v>4800</v>
      </c>
      <c r="J22" s="4" t="s">
        <v>82</v>
      </c>
      <c r="K22" s="19">
        <f>D5/D6/3600/K21</f>
        <v>15.252200083393696</v>
      </c>
      <c r="L22" s="18"/>
      <c r="M22" s="23"/>
    </row>
    <row r="23" spans="2:22" x14ac:dyDescent="0.3">
      <c r="B23" s="4" t="s">
        <v>6</v>
      </c>
      <c r="C23" s="1" t="s">
        <v>25</v>
      </c>
      <c r="J23" s="4"/>
      <c r="K23" s="21"/>
      <c r="L23" s="18"/>
      <c r="M23" s="23"/>
    </row>
    <row r="24" spans="2:22" x14ac:dyDescent="0.3">
      <c r="B24" s="4" t="s">
        <v>7</v>
      </c>
      <c r="C24" s="1" t="s">
        <v>38</v>
      </c>
      <c r="J24" s="4"/>
      <c r="K24" s="21"/>
      <c r="L24" s="23"/>
      <c r="M24" s="23"/>
    </row>
    <row r="25" spans="2:22" x14ac:dyDescent="0.3">
      <c r="B25" s="4" t="s">
        <v>8</v>
      </c>
      <c r="C25" s="1" t="s">
        <v>38</v>
      </c>
      <c r="J25" s="4" t="s">
        <v>94</v>
      </c>
      <c r="K25" s="21">
        <f>D6*((D5/D6/3600/K21)^2)</f>
        <v>8165.2992191740004</v>
      </c>
      <c r="L25" s="23">
        <f>D6*K22*K22</f>
        <v>8165.2992191740013</v>
      </c>
      <c r="M25" s="23"/>
      <c r="N25" t="s">
        <v>96</v>
      </c>
    </row>
    <row r="26" spans="2:22" x14ac:dyDescent="0.3">
      <c r="B26" s="4" t="s">
        <v>10</v>
      </c>
      <c r="C26" s="1">
        <v>-1225</v>
      </c>
      <c r="J26" s="22" t="s">
        <v>88</v>
      </c>
      <c r="K26" s="24" t="s">
        <v>0</v>
      </c>
      <c r="L26" s="24"/>
      <c r="M26" s="23"/>
    </row>
    <row r="27" spans="2:22" x14ac:dyDescent="0.3">
      <c r="B27" s="4" t="s">
        <v>11</v>
      </c>
      <c r="C27" s="1">
        <v>-850</v>
      </c>
      <c r="J27" s="4" t="s">
        <v>89</v>
      </c>
      <c r="K27" s="21">
        <v>10</v>
      </c>
      <c r="L27" s="23"/>
      <c r="M27" s="23"/>
    </row>
    <row r="28" spans="2:22" x14ac:dyDescent="0.3">
      <c r="B28" s="4" t="s">
        <v>12</v>
      </c>
      <c r="C28" s="1">
        <v>-225</v>
      </c>
      <c r="J28" s="4" t="s">
        <v>90</v>
      </c>
      <c r="K28" s="21">
        <f>PI()/4*(K27*25.4/1000)^2</f>
        <v>5.0670747909749778E-2</v>
      </c>
      <c r="L28" s="23"/>
      <c r="M28" s="23"/>
    </row>
    <row r="29" spans="2:22" x14ac:dyDescent="0.3">
      <c r="B29" s="4" t="s">
        <v>13</v>
      </c>
      <c r="C29" s="1">
        <v>75</v>
      </c>
      <c r="J29" s="4" t="s">
        <v>98</v>
      </c>
      <c r="K29" s="21">
        <f>C5/C6/3600/K28</f>
        <v>1.7865718888590738</v>
      </c>
      <c r="L29" s="23"/>
      <c r="M29" s="23"/>
    </row>
    <row r="30" spans="2:22" x14ac:dyDescent="0.3">
      <c r="B30" s="4" t="s">
        <v>14</v>
      </c>
      <c r="C30" s="1" t="s">
        <v>27</v>
      </c>
      <c r="J30" s="22" t="s">
        <v>99</v>
      </c>
      <c r="K30" s="24"/>
      <c r="L30" s="24"/>
      <c r="M30" s="23"/>
    </row>
    <row r="31" spans="2:22" x14ac:dyDescent="0.3">
      <c r="B31" s="4" t="s">
        <v>15</v>
      </c>
      <c r="C31" s="1" t="s">
        <v>28</v>
      </c>
      <c r="J31" s="4" t="s">
        <v>72</v>
      </c>
      <c r="K31" s="21">
        <v>150</v>
      </c>
      <c r="L31" s="23"/>
      <c r="M31" s="23"/>
    </row>
    <row r="32" spans="2:22" x14ac:dyDescent="0.3">
      <c r="B32" s="4" t="s">
        <v>29</v>
      </c>
      <c r="C32" s="1" t="s">
        <v>30</v>
      </c>
      <c r="J32" s="4" t="s">
        <v>71</v>
      </c>
      <c r="K32" s="21">
        <f>ROUNDUP(MAX(150,2*C5/C6/60/(PI()/4*K9^2)*1000),0)</f>
        <v>664</v>
      </c>
      <c r="L32" s="23"/>
      <c r="M32" s="23"/>
    </row>
    <row r="33" spans="2:13" x14ac:dyDescent="0.3">
      <c r="B33" s="4" t="s">
        <v>6</v>
      </c>
      <c r="C33" s="1" t="s">
        <v>34</v>
      </c>
      <c r="J33" s="4" t="s">
        <v>70</v>
      </c>
      <c r="K33" s="21">
        <f>ROUNDUP(MAX(350,4*C5/C6/60/(PI()/4*K9^2)*1000),0)</f>
        <v>1327</v>
      </c>
      <c r="L33" s="23"/>
      <c r="M33" s="23"/>
    </row>
    <row r="34" spans="2:13" x14ac:dyDescent="0.3">
      <c r="B34" s="4" t="s">
        <v>35</v>
      </c>
      <c r="C34" s="1">
        <v>4900</v>
      </c>
      <c r="J34" s="4" t="s">
        <v>69</v>
      </c>
      <c r="K34" s="21">
        <f>ROUNDUP(MAX(200,2*C5/C6/60/(PI()/4*K9^2)*1000),0)</f>
        <v>664</v>
      </c>
      <c r="L34" s="23"/>
      <c r="M34" s="23"/>
    </row>
    <row r="35" spans="2:13" x14ac:dyDescent="0.3">
      <c r="B35" s="4" t="s">
        <v>31</v>
      </c>
      <c r="C35" s="1">
        <v>150</v>
      </c>
      <c r="J35" s="4" t="s">
        <v>68</v>
      </c>
      <c r="K35" s="21">
        <f>400+(K13*25.4/2)</f>
        <v>933.4</v>
      </c>
      <c r="L35" s="23"/>
      <c r="M35" s="23"/>
    </row>
    <row r="36" spans="2:13" x14ac:dyDescent="0.3">
      <c r="B36" s="4" t="s">
        <v>32</v>
      </c>
      <c r="C36" s="1" t="s">
        <v>36</v>
      </c>
      <c r="J36" s="4" t="s">
        <v>67</v>
      </c>
      <c r="K36" s="21">
        <f>MAX(0.5*K10*1000,600)</f>
        <v>2358.0050381209617</v>
      </c>
      <c r="L36" s="23"/>
      <c r="M36" s="23"/>
    </row>
    <row r="37" spans="2:13" x14ac:dyDescent="0.3">
      <c r="B37" s="4" t="s">
        <v>33</v>
      </c>
      <c r="C37" s="1">
        <v>150</v>
      </c>
      <c r="J37" s="4" t="s">
        <v>66</v>
      </c>
      <c r="K37" s="21">
        <v>150</v>
      </c>
      <c r="L37" s="23"/>
      <c r="M37" s="23"/>
    </row>
    <row r="38" spans="2:13" ht="15.75" customHeight="1" x14ac:dyDescent="0.3">
      <c r="B38" s="4" t="s">
        <v>39</v>
      </c>
      <c r="C38" s="1" t="s">
        <v>40</v>
      </c>
      <c r="D38" s="12" t="s">
        <v>41</v>
      </c>
      <c r="E38" s="12"/>
      <c r="F38" s="12"/>
      <c r="G38" s="12"/>
      <c r="H38" s="13" t="s">
        <v>42</v>
      </c>
      <c r="J38" s="4" t="s">
        <v>65</v>
      </c>
      <c r="K38" s="21">
        <f>MAX(0.15*K10*1000,400)</f>
        <v>707.4015114362885</v>
      </c>
      <c r="L38" s="23"/>
      <c r="M38" s="23"/>
    </row>
    <row r="39" spans="2:13" x14ac:dyDescent="0.3">
      <c r="B39" s="4" t="s">
        <v>143</v>
      </c>
      <c r="C39" s="1" t="s">
        <v>146</v>
      </c>
      <c r="J39" s="4" t="s">
        <v>100</v>
      </c>
      <c r="K39" s="21">
        <f>SUM(K31:K38)</f>
        <v>6953.80654955725</v>
      </c>
      <c r="L39" s="23"/>
      <c r="M39" s="23"/>
    </row>
    <row r="40" spans="2:13" x14ac:dyDescent="0.3">
      <c r="B40" s="4" t="s">
        <v>144</v>
      </c>
      <c r="C40" s="1">
        <v>30</v>
      </c>
      <c r="J40" s="4" t="s">
        <v>64</v>
      </c>
      <c r="K40" s="21">
        <f>K39*0.001/K10</f>
        <v>1.4745105369025364</v>
      </c>
      <c r="L40" s="23"/>
      <c r="M40" s="23"/>
    </row>
    <row r="41" spans="2:13" x14ac:dyDescent="0.3">
      <c r="B41" s="4" t="s">
        <v>145</v>
      </c>
      <c r="C41" s="1">
        <v>10</v>
      </c>
    </row>
    <row r="42" spans="2:13" x14ac:dyDescent="0.3">
      <c r="B42" s="3"/>
      <c r="C42" s="1"/>
    </row>
    <row r="43" spans="2:13" x14ac:dyDescent="0.3">
      <c r="B43" s="3"/>
      <c r="C43" s="1"/>
    </row>
    <row r="44" spans="2:13" x14ac:dyDescent="0.3">
      <c r="B44" s="4"/>
      <c r="C44" s="16" t="s">
        <v>73</v>
      </c>
    </row>
    <row r="45" spans="2:13" x14ac:dyDescent="0.3">
      <c r="B45" s="32" t="s">
        <v>64</v>
      </c>
      <c r="C45" s="15">
        <f xml:space="preserve"> C22/C21</f>
        <v>0.97959183673469385</v>
      </c>
    </row>
    <row r="46" spans="2:13" x14ac:dyDescent="0.3">
      <c r="B46" s="32" t="s">
        <v>65</v>
      </c>
      <c r="C46" s="15">
        <v>150</v>
      </c>
    </row>
    <row r="47" spans="2:13" x14ac:dyDescent="0.3">
      <c r="B47" s="32" t="s">
        <v>66</v>
      </c>
      <c r="C47" s="15">
        <v>150</v>
      </c>
    </row>
    <row r="48" spans="2:13" x14ac:dyDescent="0.3">
      <c r="B48" s="32" t="s">
        <v>67</v>
      </c>
      <c r="C48" s="15">
        <v>2950</v>
      </c>
    </row>
    <row r="49" spans="2:3" x14ac:dyDescent="0.3">
      <c r="B49" s="32" t="s">
        <v>68</v>
      </c>
      <c r="C49" s="15">
        <v>1475</v>
      </c>
    </row>
    <row r="50" spans="2:3" x14ac:dyDescent="0.3">
      <c r="B50" s="32" t="s">
        <v>69</v>
      </c>
      <c r="C50" s="15">
        <v>75</v>
      </c>
    </row>
    <row r="51" spans="2:3" x14ac:dyDescent="0.3">
      <c r="B51" s="32" t="s">
        <v>70</v>
      </c>
      <c r="C51" s="15">
        <v>625</v>
      </c>
    </row>
    <row r="52" spans="2:3" x14ac:dyDescent="0.3">
      <c r="B52" s="32" t="s">
        <v>71</v>
      </c>
      <c r="C52" s="15">
        <v>375</v>
      </c>
    </row>
    <row r="53" spans="2:3" x14ac:dyDescent="0.3">
      <c r="B53" s="32" t="s">
        <v>72</v>
      </c>
      <c r="C53" s="15">
        <v>0</v>
      </c>
    </row>
    <row r="54" spans="2:3" x14ac:dyDescent="0.3">
      <c r="B54" s="32" t="s">
        <v>75</v>
      </c>
      <c r="C54" s="15"/>
    </row>
    <row r="55" spans="2:3" x14ac:dyDescent="0.3">
      <c r="B55" s="32" t="s">
        <v>76</v>
      </c>
      <c r="C55" s="15"/>
    </row>
    <row r="56" spans="2:3" x14ac:dyDescent="0.3">
      <c r="B56" s="32" t="s">
        <v>78</v>
      </c>
      <c r="C56" s="15"/>
    </row>
  </sheetData>
  <phoneticPr fontId="14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2:Q60"/>
  <sheetViews>
    <sheetView zoomScale="80" zoomScaleNormal="80" workbookViewId="0">
      <selection activeCell="F8" sqref="F8"/>
    </sheetView>
  </sheetViews>
  <sheetFormatPr defaultRowHeight="14.4" x14ac:dyDescent="0.3"/>
  <cols>
    <col min="3" max="3" width="26" customWidth="1"/>
    <col min="4" max="5" width="18.109375" customWidth="1"/>
    <col min="11" max="11" width="17.109375" customWidth="1"/>
    <col min="12" max="12" width="13.44140625" customWidth="1"/>
    <col min="13" max="13" width="14.6640625" customWidth="1"/>
    <col min="14" max="14" width="12.5546875" customWidth="1"/>
    <col min="15" max="15" width="11" customWidth="1"/>
    <col min="16" max="16" width="10.109375" customWidth="1"/>
    <col min="17" max="17" width="13.6640625" customWidth="1"/>
  </cols>
  <sheetData>
    <row r="2" spans="3:17" ht="15" thickBot="1" x14ac:dyDescent="0.35"/>
    <row r="3" spans="3:17" ht="15.6" thickTop="1" thickBot="1" x14ac:dyDescent="0.35">
      <c r="C3" s="8"/>
      <c r="D3" s="9" t="s">
        <v>3</v>
      </c>
      <c r="E3" s="8"/>
      <c r="L3" s="10" t="s">
        <v>79</v>
      </c>
      <c r="M3" s="10" t="s">
        <v>86</v>
      </c>
      <c r="N3" s="34" t="s">
        <v>151</v>
      </c>
      <c r="O3" s="34" t="s">
        <v>152</v>
      </c>
      <c r="P3" s="34" t="s">
        <v>108</v>
      </c>
      <c r="Q3" s="34" t="s">
        <v>158</v>
      </c>
    </row>
    <row r="4" spans="3:17" ht="15" thickTop="1" x14ac:dyDescent="0.3">
      <c r="C4" s="5" t="s">
        <v>2</v>
      </c>
      <c r="D4" s="6" t="s">
        <v>0</v>
      </c>
      <c r="E4" s="7" t="s">
        <v>1</v>
      </c>
      <c r="F4" t="s">
        <v>156</v>
      </c>
      <c r="G4" t="s">
        <v>159</v>
      </c>
      <c r="H4" t="s">
        <v>108</v>
      </c>
      <c r="K4" s="4" t="s">
        <v>2</v>
      </c>
      <c r="L4" s="19" t="s">
        <v>23</v>
      </c>
      <c r="M4" s="18" t="s">
        <v>23</v>
      </c>
      <c r="N4" s="18" t="s">
        <v>153</v>
      </c>
      <c r="O4" s="18" t="s">
        <v>154</v>
      </c>
      <c r="P4" s="18" t="s">
        <v>155</v>
      </c>
      <c r="Q4" s="18" t="s">
        <v>157</v>
      </c>
    </row>
    <row r="5" spans="3:17" ht="15" customHeight="1" x14ac:dyDescent="0.3">
      <c r="C5" s="4" t="s">
        <v>16</v>
      </c>
      <c r="D5" s="1">
        <v>289048</v>
      </c>
      <c r="E5" s="2">
        <v>334247</v>
      </c>
      <c r="F5">
        <f>Table18141720263238[[#This Row],[INLET]]/D6/60</f>
        <v>5.7902243589743589</v>
      </c>
      <c r="G5">
        <f>F5</f>
        <v>5.7902243589743589</v>
      </c>
      <c r="H5">
        <f>F5</f>
        <v>5.7902243589743589</v>
      </c>
      <c r="K5" s="4" t="s">
        <v>80</v>
      </c>
      <c r="L5" s="19">
        <f t="shared" ref="L5" si="0">(D6/E6)-1</f>
        <v>39</v>
      </c>
      <c r="M5" s="18">
        <f>Table512254734[[#This Row],[OUTPUT]]</f>
        <v>39</v>
      </c>
      <c r="N5" s="23">
        <f>Table613294856[[#This Row],[OUTPUT]]</f>
        <v>39</v>
      </c>
      <c r="O5" s="23">
        <f>Table613294856[[#This Row],[OUTPUT]]</f>
        <v>39</v>
      </c>
      <c r="P5" s="23">
        <f>Table613294856[[#This Row],[OUTPUT2]]</f>
        <v>39</v>
      </c>
      <c r="Q5" s="23">
        <f>Table613294856[[#This Row],[OUTPUT3]]</f>
        <v>39</v>
      </c>
    </row>
    <row r="6" spans="3:17" ht="14.4" customHeight="1" x14ac:dyDescent="0.3">
      <c r="C6" s="4" t="s">
        <v>22</v>
      </c>
      <c r="D6" s="1">
        <v>832</v>
      </c>
      <c r="E6" s="2">
        <v>20.8</v>
      </c>
      <c r="F6">
        <f>3.14*M10*M10/4</f>
        <v>9.1876291372029151</v>
      </c>
      <c r="G6">
        <f>F6</f>
        <v>9.1876291372029151</v>
      </c>
      <c r="H6">
        <f>F6</f>
        <v>9.1876291372029151</v>
      </c>
      <c r="K6" s="4" t="s">
        <v>81</v>
      </c>
      <c r="L6" s="19">
        <v>0.95</v>
      </c>
      <c r="M6" s="18">
        <f>0.048*((Table1[[#This Row],[INLET]]-E6)/E6)^0.5</f>
        <v>0.31260296765164497</v>
      </c>
      <c r="N6" s="23">
        <f>(0.116)*SQRT(N5)</f>
        <v>0.72441976781421424</v>
      </c>
      <c r="O6" s="23">
        <f>(0.28)*SQRT(O5)</f>
        <v>1.7485994395515516</v>
      </c>
      <c r="P6" s="23">
        <f>(0.088)*SQRT(P5)</f>
        <v>0.54955982385905899</v>
      </c>
      <c r="Q6" s="23">
        <f>(0.29)*0.7*SQRT(Q5)</f>
        <v>1.2677345936748747</v>
      </c>
    </row>
    <row r="7" spans="3:17" ht="27" customHeight="1" x14ac:dyDescent="0.3">
      <c r="C7" s="4" t="s">
        <v>17</v>
      </c>
      <c r="D7" s="1"/>
      <c r="E7" s="2">
        <v>18.190000000000001</v>
      </c>
      <c r="F7">
        <f>10*F5/F6</f>
        <v>6.3021964344733412</v>
      </c>
      <c r="K7" s="4" t="s">
        <v>82</v>
      </c>
      <c r="L7" s="19">
        <f>L6*0.85</f>
        <v>0.8075</v>
      </c>
      <c r="M7" s="18">
        <f>M6*M11</f>
        <v>0.53142504500779641</v>
      </c>
      <c r="N7" s="23">
        <f>N6</f>
        <v>0.72441976781421424</v>
      </c>
      <c r="O7" s="23">
        <f>O6*0.75</f>
        <v>1.3114495796636638</v>
      </c>
      <c r="P7" s="23">
        <f>P6</f>
        <v>0.54955982385905899</v>
      </c>
      <c r="Q7" s="23">
        <f>Q6</f>
        <v>1.2677345936748747</v>
      </c>
    </row>
    <row r="8" spans="3:17" x14ac:dyDescent="0.3">
      <c r="C8" s="4" t="s">
        <v>18</v>
      </c>
      <c r="D8" s="1">
        <v>227</v>
      </c>
      <c r="E8" s="2">
        <v>227</v>
      </c>
      <c r="K8" s="4" t="s">
        <v>83</v>
      </c>
      <c r="L8" s="19">
        <f>E5/E6/3600</f>
        <v>4.4637686965811962</v>
      </c>
      <c r="M8" s="18">
        <f>Table512254734[[#This Row],[OUTPUT]]</f>
        <v>4.4637686965811962</v>
      </c>
      <c r="N8" s="23">
        <f>Table613294856[[#This Row],[OUTPUT]]</f>
        <v>4.4637686965811962</v>
      </c>
      <c r="O8" s="23">
        <f>Table613294856[[#This Row],[OUTPUT]]</f>
        <v>4.4637686965811962</v>
      </c>
      <c r="P8" s="23">
        <f>Table613294856[[#This Row],[OUTPUT2]]</f>
        <v>4.4637686965811962</v>
      </c>
      <c r="Q8" s="23">
        <f>Table613294856[[#This Row],[OUTPUT3]]</f>
        <v>4.4637686965811962</v>
      </c>
    </row>
    <row r="9" spans="3:17" x14ac:dyDescent="0.3">
      <c r="C9" s="4" t="s">
        <v>19</v>
      </c>
      <c r="D9" s="1">
        <v>42.6</v>
      </c>
      <c r="E9" s="2">
        <v>42.6</v>
      </c>
      <c r="K9" s="4" t="s">
        <v>84</v>
      </c>
      <c r="L9" s="19">
        <f t="shared" ref="L9:Q9" si="1">(4*L8/L7/3.14)^0.5</f>
        <v>2.6536567561198008</v>
      </c>
      <c r="M9" s="18">
        <f t="shared" si="1"/>
        <v>3.2711089082404157</v>
      </c>
      <c r="N9" s="18">
        <f t="shared" si="1"/>
        <v>2.8016950730214947</v>
      </c>
      <c r="O9" s="23">
        <f t="shared" si="1"/>
        <v>2.0822852061347206</v>
      </c>
      <c r="P9" s="23">
        <f t="shared" si="1"/>
        <v>3.2166849337307908</v>
      </c>
      <c r="Q9" s="23">
        <f t="shared" si="1"/>
        <v>2.1178824036142352</v>
      </c>
    </row>
    <row r="10" spans="3:17" x14ac:dyDescent="0.3">
      <c r="C10" s="4" t="s">
        <v>20</v>
      </c>
      <c r="D10" s="1">
        <v>290</v>
      </c>
      <c r="E10" s="2">
        <v>290</v>
      </c>
      <c r="K10" s="4" t="s">
        <v>85</v>
      </c>
      <c r="L10" s="19">
        <f>L9</f>
        <v>2.6536567561198008</v>
      </c>
      <c r="M10" s="18">
        <f>M9+0.15</f>
        <v>3.4211089082404156</v>
      </c>
      <c r="N10" s="23"/>
      <c r="O10" s="23"/>
      <c r="P10" s="23">
        <f>P9+0.15</f>
        <v>3.3666849337307907</v>
      </c>
      <c r="Q10" s="23">
        <f>Q9+0.15</f>
        <v>2.2678824036142351</v>
      </c>
    </row>
    <row r="11" spans="3:17" x14ac:dyDescent="0.3">
      <c r="C11" s="4" t="s">
        <v>21</v>
      </c>
      <c r="D11" s="1">
        <v>55</v>
      </c>
      <c r="E11" s="2">
        <v>55</v>
      </c>
      <c r="K11" s="4" t="s">
        <v>87</v>
      </c>
      <c r="L11" s="19"/>
      <c r="M11" s="18">
        <v>1.7</v>
      </c>
      <c r="N11" s="23"/>
      <c r="O11" s="23"/>
      <c r="P11" s="23"/>
      <c r="Q11" s="23"/>
    </row>
    <row r="12" spans="3:17" x14ac:dyDescent="0.3">
      <c r="C12" s="4"/>
      <c r="D12" s="1"/>
      <c r="E12" s="2"/>
      <c r="K12" s="22" t="s">
        <v>88</v>
      </c>
      <c r="L12" s="1" t="s">
        <v>3</v>
      </c>
      <c r="M12" s="1"/>
      <c r="N12" s="23"/>
      <c r="O12" s="23"/>
      <c r="P12" s="23"/>
      <c r="Q12" s="23"/>
    </row>
    <row r="13" spans="3:17" x14ac:dyDescent="0.3">
      <c r="C13" s="4"/>
      <c r="D13" s="1"/>
      <c r="E13" s="2"/>
      <c r="K13" s="4" t="s">
        <v>89</v>
      </c>
      <c r="L13" s="19">
        <v>32</v>
      </c>
      <c r="M13" s="18"/>
      <c r="N13" s="23"/>
      <c r="O13" s="23"/>
      <c r="P13" s="23"/>
      <c r="Q13" s="23"/>
    </row>
    <row r="14" spans="3:17" x14ac:dyDescent="0.3">
      <c r="C14" s="4"/>
      <c r="D14" s="1"/>
      <c r="E14" s="2"/>
      <c r="K14" s="4" t="s">
        <v>90</v>
      </c>
      <c r="L14" s="19">
        <f>PI()/4*(L13*25.4/1000)^2</f>
        <v>0.51886845859583763</v>
      </c>
      <c r="M14" s="18"/>
      <c r="N14" s="23"/>
      <c r="O14" s="23"/>
      <c r="P14" s="23"/>
      <c r="Q14" s="23"/>
    </row>
    <row r="15" spans="3:17" x14ac:dyDescent="0.3">
      <c r="C15" s="4"/>
      <c r="D15" s="1"/>
      <c r="E15" s="2"/>
      <c r="K15" s="4" t="s">
        <v>91</v>
      </c>
      <c r="L15" s="19">
        <f>(D5+E5)/((D5/D6)+(E5/E6))</f>
        <v>37.966481703395758</v>
      </c>
      <c r="M15" s="18"/>
      <c r="N15" s="23"/>
      <c r="O15" s="23"/>
      <c r="P15" s="23"/>
      <c r="Q15" s="23"/>
    </row>
    <row r="16" spans="3:17" x14ac:dyDescent="0.3">
      <c r="C16" s="4"/>
      <c r="D16" s="1"/>
      <c r="E16" s="2"/>
      <c r="K16" s="4" t="s">
        <v>92</v>
      </c>
      <c r="L16" s="19">
        <f xml:space="preserve"> (D5+E5)/L15/L14/3600</f>
        <v>8.7888796482993978</v>
      </c>
      <c r="M16" s="18"/>
      <c r="N16" s="23"/>
      <c r="O16" s="23"/>
      <c r="P16" s="23"/>
      <c r="Q16" s="23"/>
    </row>
    <row r="17" spans="3:17" x14ac:dyDescent="0.3">
      <c r="C17" s="4"/>
      <c r="D17" s="1"/>
      <c r="E17" s="2"/>
      <c r="K17" s="4" t="s">
        <v>93</v>
      </c>
      <c r="L17" s="19">
        <f>L15*(L16^2)</f>
        <v>2932.6983070534325</v>
      </c>
      <c r="M17" s="18"/>
      <c r="N17" s="23"/>
      <c r="O17" s="23"/>
      <c r="P17" s="23"/>
      <c r="Q17" s="23"/>
    </row>
    <row r="18" spans="3:17" ht="15" thickBot="1" x14ac:dyDescent="0.35">
      <c r="K18" s="4" t="s">
        <v>94</v>
      </c>
      <c r="L18" s="19">
        <f>E6*((E5/E6/3600/L14)^2)</f>
        <v>1539.4023917504553</v>
      </c>
      <c r="M18" s="18"/>
      <c r="N18" s="23"/>
      <c r="O18" s="23"/>
      <c r="P18" s="23"/>
      <c r="Q18" s="23"/>
    </row>
    <row r="19" spans="3:17" ht="15" thickTop="1" x14ac:dyDescent="0.3">
      <c r="D19" s="10" t="s">
        <v>4</v>
      </c>
      <c r="K19" s="22" t="s">
        <v>88</v>
      </c>
      <c r="L19" s="1" t="s">
        <v>97</v>
      </c>
      <c r="M19" s="1"/>
      <c r="N19" s="23"/>
      <c r="O19" s="23"/>
      <c r="P19" s="23"/>
      <c r="Q19" s="23"/>
    </row>
    <row r="20" spans="3:17" x14ac:dyDescent="0.3">
      <c r="C20" s="4" t="s">
        <v>2</v>
      </c>
      <c r="D20" s="1" t="s">
        <v>9</v>
      </c>
      <c r="K20" s="4" t="s">
        <v>89</v>
      </c>
      <c r="L20" s="19">
        <v>28</v>
      </c>
      <c r="M20" s="18"/>
      <c r="N20" s="23"/>
      <c r="O20" s="23"/>
      <c r="P20" s="23"/>
      <c r="Q20" s="23"/>
    </row>
    <row r="21" spans="3:17" x14ac:dyDescent="0.3">
      <c r="C21" s="4" t="s">
        <v>24</v>
      </c>
      <c r="D21" s="1">
        <v>3400</v>
      </c>
      <c r="K21" s="4" t="s">
        <v>90</v>
      </c>
      <c r="L21" s="20">
        <f>PI()/4*(L20*25.4/1000)^2</f>
        <v>0.39725866361243817</v>
      </c>
      <c r="M21" s="18"/>
      <c r="N21" s="23"/>
      <c r="O21" s="23"/>
      <c r="P21" s="23"/>
      <c r="Q21" s="23"/>
    </row>
    <row r="22" spans="3:17" x14ac:dyDescent="0.3">
      <c r="C22" s="4" t="s">
        <v>5</v>
      </c>
      <c r="D22" s="1">
        <v>12400</v>
      </c>
      <c r="K22" s="4" t="s">
        <v>82</v>
      </c>
      <c r="L22" s="20">
        <f>E5/E6/3600/L21</f>
        <v>11.236428819425338</v>
      </c>
      <c r="M22" s="18"/>
      <c r="N22" s="23"/>
      <c r="O22" s="23"/>
      <c r="P22" s="23"/>
      <c r="Q22" s="23"/>
    </row>
    <row r="23" spans="3:17" x14ac:dyDescent="0.3">
      <c r="C23" s="4" t="s">
        <v>6</v>
      </c>
      <c r="D23" s="1" t="s">
        <v>25</v>
      </c>
      <c r="K23" s="4"/>
      <c r="L23" s="21"/>
      <c r="M23" s="18"/>
      <c r="N23" s="23"/>
      <c r="O23" s="23"/>
      <c r="P23" s="23"/>
      <c r="Q23" s="23"/>
    </row>
    <row r="24" spans="3:17" x14ac:dyDescent="0.3">
      <c r="C24" s="4" t="s">
        <v>7</v>
      </c>
      <c r="D24" s="1" t="s">
        <v>38</v>
      </c>
      <c r="K24" s="4"/>
      <c r="L24" s="21"/>
      <c r="M24" s="23"/>
      <c r="N24" s="23"/>
      <c r="O24" s="23"/>
      <c r="P24" s="23"/>
      <c r="Q24" s="23"/>
    </row>
    <row r="25" spans="3:17" x14ac:dyDescent="0.3">
      <c r="C25" s="4" t="s">
        <v>8</v>
      </c>
      <c r="D25" s="1" t="s">
        <v>38</v>
      </c>
      <c r="K25" s="4" t="s">
        <v>94</v>
      </c>
      <c r="L25" s="21">
        <f>E6*((E5/E6/3600/L21)^2)</f>
        <v>2626.1525183714557</v>
      </c>
      <c r="M25" s="23"/>
      <c r="N25" s="23"/>
      <c r="O25" s="23"/>
      <c r="P25" s="23"/>
      <c r="Q25" s="23"/>
    </row>
    <row r="26" spans="3:17" x14ac:dyDescent="0.3">
      <c r="C26" s="4" t="s">
        <v>10</v>
      </c>
      <c r="D26" s="1">
        <v>-850</v>
      </c>
      <c r="K26" s="22" t="s">
        <v>88</v>
      </c>
      <c r="L26" s="24" t="s">
        <v>0</v>
      </c>
      <c r="M26" s="24"/>
      <c r="N26" s="23"/>
      <c r="O26" s="23"/>
      <c r="P26" s="23"/>
      <c r="Q26" s="23"/>
    </row>
    <row r="27" spans="3:17" x14ac:dyDescent="0.3">
      <c r="C27" s="4" t="s">
        <v>11</v>
      </c>
      <c r="D27" s="1">
        <v>-125</v>
      </c>
      <c r="K27" s="4" t="s">
        <v>89</v>
      </c>
      <c r="L27" s="21">
        <v>16</v>
      </c>
      <c r="M27" s="23"/>
      <c r="N27" s="23"/>
      <c r="O27" s="23"/>
      <c r="P27" s="23"/>
      <c r="Q27" s="23"/>
    </row>
    <row r="28" spans="3:17" x14ac:dyDescent="0.3">
      <c r="C28" s="4" t="s">
        <v>12</v>
      </c>
      <c r="D28" s="1">
        <v>4975</v>
      </c>
      <c r="K28" s="4" t="s">
        <v>90</v>
      </c>
      <c r="L28" s="21">
        <f>PI()/4*(L27*25.4/1000)^2</f>
        <v>0.12971711464895941</v>
      </c>
      <c r="M28" s="23"/>
      <c r="N28" s="23"/>
      <c r="O28" s="23"/>
      <c r="P28" s="23"/>
      <c r="Q28" s="23"/>
    </row>
    <row r="29" spans="3:17" x14ac:dyDescent="0.3">
      <c r="C29" s="4" t="s">
        <v>13</v>
      </c>
      <c r="D29" s="1">
        <v>5625</v>
      </c>
      <c r="K29" s="4" t="s">
        <v>98</v>
      </c>
      <c r="L29" s="21">
        <f>D5/D6/3600/L28</f>
        <v>0.7439553337074899</v>
      </c>
      <c r="M29" s="23"/>
      <c r="N29" s="23"/>
      <c r="O29" s="23"/>
      <c r="P29" s="23"/>
      <c r="Q29" s="23"/>
    </row>
    <row r="30" spans="3:17" x14ac:dyDescent="0.3">
      <c r="C30" s="4" t="s">
        <v>14</v>
      </c>
      <c r="D30" s="1" t="s">
        <v>48</v>
      </c>
      <c r="K30" s="22" t="s">
        <v>99</v>
      </c>
      <c r="L30" s="24"/>
      <c r="M30" s="24"/>
      <c r="N30" s="23"/>
      <c r="O30" s="23"/>
      <c r="P30" s="23"/>
      <c r="Q30" s="23"/>
    </row>
    <row r="31" spans="3:17" x14ac:dyDescent="0.3">
      <c r="C31" s="4" t="s">
        <v>14</v>
      </c>
      <c r="D31" s="1" t="s">
        <v>46</v>
      </c>
      <c r="K31" s="4" t="s">
        <v>72</v>
      </c>
      <c r="L31" s="21">
        <v>150</v>
      </c>
      <c r="M31" s="23"/>
      <c r="N31" s="23"/>
      <c r="O31" s="23"/>
      <c r="P31" s="23"/>
      <c r="Q31" s="23"/>
    </row>
    <row r="32" spans="3:17" x14ac:dyDescent="0.3">
      <c r="C32" s="4" t="s">
        <v>15</v>
      </c>
      <c r="D32" s="1" t="s">
        <v>28</v>
      </c>
      <c r="K32" s="4" t="s">
        <v>71</v>
      </c>
      <c r="L32" s="21">
        <f>ROUNDUP(MAX(150,2*D5/D6/60/(PI()/4*L9^2)*1000),0)</f>
        <v>2094</v>
      </c>
      <c r="M32" s="23"/>
      <c r="N32" s="23"/>
      <c r="O32" s="23"/>
      <c r="P32" s="23"/>
      <c r="Q32" s="23"/>
    </row>
    <row r="33" spans="3:17" x14ac:dyDescent="0.3">
      <c r="C33" s="4" t="s">
        <v>29</v>
      </c>
      <c r="D33" s="1" t="s">
        <v>30</v>
      </c>
      <c r="K33" s="4" t="s">
        <v>70</v>
      </c>
      <c r="L33" s="21">
        <f>ROUNDUP(MAX(350,4*D5/D6/60/(PI()/4*L9^2)*1000),0)</f>
        <v>4188</v>
      </c>
      <c r="M33" s="23"/>
      <c r="N33" s="23"/>
      <c r="O33" s="23"/>
      <c r="P33" s="23"/>
      <c r="Q33" s="23"/>
    </row>
    <row r="34" spans="3:17" x14ac:dyDescent="0.3">
      <c r="C34" s="4" t="s">
        <v>6</v>
      </c>
      <c r="D34" s="1" t="s">
        <v>34</v>
      </c>
      <c r="K34" s="4" t="s">
        <v>69</v>
      </c>
      <c r="L34" s="21">
        <f>ROUNDUP(MAX(200,2*D5/D6/60/(PI()/4*L9^2)*1000),0)</f>
        <v>2094</v>
      </c>
      <c r="M34" s="23"/>
      <c r="N34" s="23"/>
      <c r="O34" s="23"/>
      <c r="P34" s="23"/>
      <c r="Q34" s="23"/>
    </row>
    <row r="35" spans="3:17" x14ac:dyDescent="0.3">
      <c r="C35" s="4" t="s">
        <v>35</v>
      </c>
      <c r="D35" s="1">
        <v>3400</v>
      </c>
      <c r="K35" s="4" t="s">
        <v>68</v>
      </c>
      <c r="L35" s="21">
        <f>400+L13*25.4/2</f>
        <v>806.4</v>
      </c>
      <c r="M35" s="23"/>
      <c r="N35" s="23"/>
      <c r="O35" s="23"/>
      <c r="P35" s="23"/>
      <c r="Q35" s="23"/>
    </row>
    <row r="36" spans="3:17" x14ac:dyDescent="0.3">
      <c r="C36" s="4" t="s">
        <v>31</v>
      </c>
      <c r="D36" s="1">
        <v>150</v>
      </c>
      <c r="K36" s="4" t="s">
        <v>67</v>
      </c>
      <c r="L36" s="21">
        <f>MAX(0.5*L10*1000,600)</f>
        <v>1326.8283780599004</v>
      </c>
      <c r="M36" s="23"/>
      <c r="N36" s="23"/>
      <c r="O36" s="23"/>
      <c r="P36" s="23"/>
      <c r="Q36" s="23"/>
    </row>
    <row r="37" spans="3:17" x14ac:dyDescent="0.3">
      <c r="C37" s="4" t="s">
        <v>32</v>
      </c>
      <c r="D37" s="1" t="s">
        <v>47</v>
      </c>
      <c r="K37" s="4" t="s">
        <v>66</v>
      </c>
      <c r="L37" s="21">
        <v>150</v>
      </c>
      <c r="M37" s="23"/>
      <c r="N37" s="23"/>
      <c r="O37" s="23"/>
      <c r="P37" s="23"/>
      <c r="Q37" s="23"/>
    </row>
    <row r="38" spans="3:17" x14ac:dyDescent="0.3">
      <c r="C38" s="4" t="s">
        <v>33</v>
      </c>
      <c r="D38" s="1">
        <v>150</v>
      </c>
      <c r="K38" s="4" t="s">
        <v>65</v>
      </c>
      <c r="L38" s="21">
        <f>MAX(0.15*L10*1000,400)</f>
        <v>400</v>
      </c>
      <c r="M38" s="23"/>
      <c r="N38" s="23"/>
      <c r="O38" s="23"/>
      <c r="P38" s="23"/>
      <c r="Q38" s="23"/>
    </row>
    <row r="39" spans="3:17" x14ac:dyDescent="0.3">
      <c r="C39" s="4" t="s">
        <v>49</v>
      </c>
      <c r="D39" s="1">
        <v>5</v>
      </c>
      <c r="K39" s="4" t="s">
        <v>100</v>
      </c>
      <c r="L39" s="21">
        <f>SUM(L31:L38)</f>
        <v>11209.228378059899</v>
      </c>
      <c r="M39" s="23"/>
      <c r="N39" s="23"/>
      <c r="O39" s="23"/>
      <c r="P39" s="23"/>
      <c r="Q39" s="23"/>
    </row>
    <row r="40" spans="3:17" x14ac:dyDescent="0.3">
      <c r="C40" s="4" t="s">
        <v>50</v>
      </c>
      <c r="D40" s="1">
        <v>3400</v>
      </c>
      <c r="K40" s="4" t="s">
        <v>64</v>
      </c>
      <c r="L40" s="21">
        <f>L39*0.001/L10</f>
        <v>4.224068675125161</v>
      </c>
      <c r="M40" s="23"/>
      <c r="N40" s="23"/>
      <c r="O40" s="23"/>
      <c r="P40" s="23"/>
      <c r="Q40" s="23"/>
    </row>
    <row r="41" spans="3:17" x14ac:dyDescent="0.3">
      <c r="C41" s="4" t="s">
        <v>51</v>
      </c>
      <c r="D41" s="1" t="s">
        <v>54</v>
      </c>
      <c r="K41" s="22" t="s">
        <v>99</v>
      </c>
      <c r="L41" s="17"/>
      <c r="M41" s="17"/>
      <c r="N41" s="17"/>
      <c r="O41" s="17"/>
      <c r="P41" s="17"/>
      <c r="Q41" s="17"/>
    </row>
    <row r="42" spans="3:17" x14ac:dyDescent="0.3">
      <c r="C42" s="4" t="s">
        <v>52</v>
      </c>
      <c r="D42" s="1" t="s">
        <v>55</v>
      </c>
    </row>
    <row r="43" spans="3:17" x14ac:dyDescent="0.3">
      <c r="C43" s="4" t="s">
        <v>53</v>
      </c>
      <c r="D43" s="14">
        <v>0.5</v>
      </c>
    </row>
    <row r="44" spans="3:17" x14ac:dyDescent="0.3">
      <c r="C44" s="4" t="s">
        <v>56</v>
      </c>
      <c r="D44" s="1">
        <v>600</v>
      </c>
    </row>
    <row r="45" spans="3:17" x14ac:dyDescent="0.3">
      <c r="C45" s="4" t="s">
        <v>57</v>
      </c>
      <c r="D45" s="1" t="s">
        <v>25</v>
      </c>
    </row>
    <row r="46" spans="3:17" x14ac:dyDescent="0.3">
      <c r="C46" s="4" t="s">
        <v>58</v>
      </c>
      <c r="D46" s="1">
        <v>10</v>
      </c>
    </row>
    <row r="47" spans="3:17" x14ac:dyDescent="0.3">
      <c r="C47" s="4"/>
      <c r="D47" s="1"/>
    </row>
    <row r="48" spans="3:17" x14ac:dyDescent="0.3">
      <c r="C48" s="4"/>
      <c r="D48" s="11" t="s">
        <v>23</v>
      </c>
    </row>
    <row r="49" spans="3:4" x14ac:dyDescent="0.3">
      <c r="C49" s="4"/>
      <c r="D49" s="11"/>
    </row>
    <row r="50" spans="3:4" x14ac:dyDescent="0.3">
      <c r="C50" s="3"/>
      <c r="D50" s="11"/>
    </row>
    <row r="51" spans="3:4" x14ac:dyDescent="0.3">
      <c r="C51" s="3"/>
      <c r="D51" s="11"/>
    </row>
    <row r="52" spans="3:4" x14ac:dyDescent="0.3">
      <c r="C52" s="3"/>
      <c r="D52" s="11"/>
    </row>
    <row r="53" spans="3:4" x14ac:dyDescent="0.3">
      <c r="C53" s="3"/>
      <c r="D53" s="11"/>
    </row>
    <row r="54" spans="3:4" x14ac:dyDescent="0.3">
      <c r="D54" s="11"/>
    </row>
    <row r="55" spans="3:4" x14ac:dyDescent="0.3">
      <c r="D55" s="11"/>
    </row>
    <row r="56" spans="3:4" x14ac:dyDescent="0.3">
      <c r="D56" s="11"/>
    </row>
    <row r="57" spans="3:4" x14ac:dyDescent="0.3">
      <c r="D57" s="11"/>
    </row>
    <row r="58" spans="3:4" x14ac:dyDescent="0.3">
      <c r="D58" s="11"/>
    </row>
    <row r="59" spans="3:4" x14ac:dyDescent="0.3">
      <c r="D59" s="11"/>
    </row>
    <row r="60" spans="3:4" x14ac:dyDescent="0.3">
      <c r="D60" s="11"/>
    </row>
  </sheetData>
  <phoneticPr fontId="14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2:M57"/>
  <sheetViews>
    <sheetView topLeftCell="A13" workbookViewId="0">
      <selection activeCell="L46" sqref="L46"/>
    </sheetView>
  </sheetViews>
  <sheetFormatPr defaultRowHeight="14.4" x14ac:dyDescent="0.3"/>
  <cols>
    <col min="3" max="3" width="25" customWidth="1"/>
    <col min="4" max="4" width="22.5546875" customWidth="1"/>
    <col min="5" max="5" width="18.44140625" customWidth="1"/>
    <col min="11" max="11" width="13.88671875" customWidth="1"/>
    <col min="12" max="12" width="13" customWidth="1"/>
    <col min="13" max="13" width="11" customWidth="1"/>
  </cols>
  <sheetData>
    <row r="2" spans="3:13" ht="15" thickBot="1" x14ac:dyDescent="0.35"/>
    <row r="3" spans="3:13" ht="15.6" thickTop="1" thickBot="1" x14ac:dyDescent="0.35">
      <c r="C3" s="8"/>
      <c r="D3" s="9" t="s">
        <v>3</v>
      </c>
      <c r="E3" s="8"/>
      <c r="L3" s="26" t="s">
        <v>109</v>
      </c>
    </row>
    <row r="4" spans="3:13" ht="15" thickTop="1" x14ac:dyDescent="0.3">
      <c r="C4" s="5" t="s">
        <v>2</v>
      </c>
      <c r="D4" s="6" t="s">
        <v>0</v>
      </c>
      <c r="E4" s="7" t="s">
        <v>1</v>
      </c>
      <c r="K4" s="4" t="s">
        <v>2</v>
      </c>
      <c r="L4" s="19" t="s">
        <v>23</v>
      </c>
    </row>
    <row r="5" spans="3:13" x14ac:dyDescent="0.3">
      <c r="C5" s="4" t="s">
        <v>16</v>
      </c>
      <c r="D5" s="1">
        <v>240105</v>
      </c>
      <c r="E5" s="2">
        <v>6599</v>
      </c>
      <c r="K5" s="4" t="s">
        <v>110</v>
      </c>
      <c r="L5" s="19">
        <f t="shared" ref="L5" si="0" xml:space="preserve"> (E9+1) * 14.5</f>
        <v>72.5</v>
      </c>
    </row>
    <row r="6" spans="3:13" x14ac:dyDescent="0.3">
      <c r="C6" s="4" t="s">
        <v>22</v>
      </c>
      <c r="D6" s="1">
        <v>781</v>
      </c>
      <c r="E6" s="2">
        <v>5.69</v>
      </c>
      <c r="K6" s="4" t="s">
        <v>87</v>
      </c>
      <c r="L6" s="19">
        <f>IF(L5&lt;15,(0.1821+0.0029*L5+0.046*LN(L5)),IF(L5&lt;=40,0.35,(0.43-0.023*LN(L5))))*0.3048</f>
        <v>0.10103434476673225</v>
      </c>
      <c r="M6" s="27" t="s">
        <v>111</v>
      </c>
    </row>
    <row r="7" spans="3:13" x14ac:dyDescent="0.3">
      <c r="C7" s="4" t="s">
        <v>17</v>
      </c>
      <c r="D7" s="1"/>
      <c r="E7" s="2">
        <v>29.9</v>
      </c>
      <c r="K7" s="4" t="s">
        <v>87</v>
      </c>
      <c r="L7" s="19">
        <f>(0.35-0.01*((L5-100)/100))*0.3048</f>
        <v>0.10751819999999999</v>
      </c>
      <c r="M7" s="29" t="s">
        <v>108</v>
      </c>
    </row>
    <row r="8" spans="3:13" x14ac:dyDescent="0.3">
      <c r="C8" s="4" t="s">
        <v>18</v>
      </c>
      <c r="D8" s="1">
        <v>47</v>
      </c>
      <c r="E8" s="2">
        <v>47</v>
      </c>
      <c r="K8" s="4" t="s">
        <v>75</v>
      </c>
      <c r="L8" s="19">
        <f>L6*((D6-E6)/E6)^0.5</f>
        <v>1.1793713919778854</v>
      </c>
    </row>
    <row r="9" spans="3:13" x14ac:dyDescent="0.3">
      <c r="C9" s="4" t="s">
        <v>19</v>
      </c>
      <c r="D9" s="1">
        <v>4</v>
      </c>
      <c r="E9" s="2">
        <v>4</v>
      </c>
      <c r="K9" s="4" t="s">
        <v>82</v>
      </c>
      <c r="L9" s="19">
        <f>L8*0.75</f>
        <v>0.88452854398341407</v>
      </c>
    </row>
    <row r="10" spans="3:13" x14ac:dyDescent="0.3">
      <c r="C10" s="4" t="s">
        <v>20</v>
      </c>
      <c r="D10" s="1">
        <v>100</v>
      </c>
      <c r="E10" s="2">
        <v>100</v>
      </c>
      <c r="K10" s="4" t="s">
        <v>112</v>
      </c>
      <c r="L10" s="19">
        <v>2.6</v>
      </c>
    </row>
    <row r="11" spans="3:13" x14ac:dyDescent="0.3">
      <c r="C11" s="4" t="s">
        <v>21</v>
      </c>
      <c r="D11" s="1">
        <v>7</v>
      </c>
      <c r="E11" s="2">
        <v>7</v>
      </c>
      <c r="K11" s="4" t="s">
        <v>113</v>
      </c>
      <c r="L11" s="19">
        <v>3.5</v>
      </c>
      <c r="M11" s="28" t="s">
        <v>115</v>
      </c>
    </row>
    <row r="12" spans="3:13" x14ac:dyDescent="0.3">
      <c r="C12" s="4"/>
      <c r="D12" s="1"/>
      <c r="E12" s="2"/>
      <c r="K12" s="4" t="s">
        <v>114</v>
      </c>
      <c r="L12" s="19">
        <f>L10*L11</f>
        <v>9.1</v>
      </c>
    </row>
    <row r="13" spans="3:13" x14ac:dyDescent="0.3">
      <c r="C13" s="4"/>
      <c r="D13" s="1"/>
      <c r="E13" s="2"/>
      <c r="K13" s="4" t="s">
        <v>116</v>
      </c>
      <c r="L13" s="19">
        <f>PI()/4*L10^2</f>
        <v>5.3092915845667505</v>
      </c>
    </row>
    <row r="14" spans="3:13" x14ac:dyDescent="0.3">
      <c r="C14" s="4"/>
      <c r="D14" s="1"/>
      <c r="E14" s="2"/>
      <c r="K14" s="4" t="s">
        <v>117</v>
      </c>
      <c r="L14" s="19">
        <v>0.32500000000000001</v>
      </c>
    </row>
    <row r="15" spans="3:13" x14ac:dyDescent="0.3">
      <c r="C15" s="4"/>
      <c r="D15" s="1"/>
      <c r="E15" s="2"/>
      <c r="K15" s="4" t="s">
        <v>118</v>
      </c>
      <c r="L15" s="19">
        <v>0.4</v>
      </c>
    </row>
    <row r="16" spans="3:13" x14ac:dyDescent="0.3">
      <c r="C16" s="4"/>
      <c r="D16" s="1"/>
      <c r="E16" s="2"/>
      <c r="K16" s="4" t="s">
        <v>119</v>
      </c>
      <c r="L16" s="19">
        <f>(L14+L15)/L10</f>
        <v>0.27884615384615385</v>
      </c>
    </row>
    <row r="17" spans="3:12" x14ac:dyDescent="0.3">
      <c r="C17" s="4"/>
      <c r="D17" s="1"/>
      <c r="E17" s="2"/>
      <c r="K17" s="4" t="s">
        <v>120</v>
      </c>
      <c r="L17" s="19">
        <f>2*ACOS(1-2*L16)</f>
        <v>2.225252421969004</v>
      </c>
    </row>
    <row r="18" spans="3:12" ht="15" thickBot="1" x14ac:dyDescent="0.35">
      <c r="K18" s="4" t="s">
        <v>121</v>
      </c>
      <c r="L18" s="19">
        <f>(L17-SIN(L17))/2/PI()</f>
        <v>0.22788971143346665</v>
      </c>
    </row>
    <row r="19" spans="3:12" ht="15" thickTop="1" x14ac:dyDescent="0.3">
      <c r="D19" s="10" t="s">
        <v>4</v>
      </c>
      <c r="K19" s="4" t="s">
        <v>122</v>
      </c>
      <c r="L19" s="19">
        <f>(D5*(1+0)/D6/60)*(7/L12)</f>
        <v>3.9414458780655965</v>
      </c>
    </row>
    <row r="20" spans="3:12" x14ac:dyDescent="0.3">
      <c r="C20" s="4" t="s">
        <v>2</v>
      </c>
      <c r="D20" s="1" t="s">
        <v>9</v>
      </c>
      <c r="K20" s="4" t="s">
        <v>123</v>
      </c>
      <c r="L20" s="19">
        <f>L18*L13</f>
        <v>1.2099329271230497</v>
      </c>
    </row>
    <row r="21" spans="3:12" x14ac:dyDescent="0.3">
      <c r="C21" s="4" t="s">
        <v>24</v>
      </c>
      <c r="D21" s="1">
        <v>2125</v>
      </c>
      <c r="K21" s="4" t="s">
        <v>124</v>
      </c>
      <c r="L21" s="19">
        <f>L19+L20</f>
        <v>5.1513788051886458</v>
      </c>
    </row>
    <row r="22" spans="3:12" x14ac:dyDescent="0.3">
      <c r="C22" s="4" t="s">
        <v>5</v>
      </c>
      <c r="D22" s="1">
        <v>6450</v>
      </c>
      <c r="K22" s="4" t="s">
        <v>125</v>
      </c>
      <c r="L22" s="19">
        <f>L21/L13</f>
        <v>0.9702572787983369</v>
      </c>
    </row>
    <row r="23" spans="3:12" x14ac:dyDescent="0.3">
      <c r="C23" s="4" t="s">
        <v>6</v>
      </c>
      <c r="D23" s="1" t="s">
        <v>25</v>
      </c>
      <c r="K23" s="4" t="s">
        <v>126</v>
      </c>
      <c r="L23" s="19">
        <v>0.85</v>
      </c>
    </row>
    <row r="24" spans="3:12" x14ac:dyDescent="0.3">
      <c r="C24" s="4" t="s">
        <v>7</v>
      </c>
      <c r="D24" s="1" t="s">
        <v>26</v>
      </c>
      <c r="K24" s="4" t="s">
        <v>120</v>
      </c>
      <c r="L24" s="19">
        <f>2*ACOS(1-2*L23)</f>
        <v>4.6923876468112997</v>
      </c>
    </row>
    <row r="25" spans="3:12" x14ac:dyDescent="0.3">
      <c r="C25" s="4" t="s">
        <v>8</v>
      </c>
      <c r="D25" s="1" t="s">
        <v>26</v>
      </c>
      <c r="K25" s="4" t="s">
        <v>127</v>
      </c>
      <c r="L25" s="19">
        <f>(L24-SIN(L24))/2/PI()-L22</f>
        <v>-6.4317480985430442E-2</v>
      </c>
    </row>
    <row r="26" spans="3:12" x14ac:dyDescent="0.3">
      <c r="C26" s="4" t="s">
        <v>10</v>
      </c>
      <c r="D26" s="1">
        <v>325</v>
      </c>
      <c r="K26" s="4" t="s">
        <v>128</v>
      </c>
      <c r="L26" s="19">
        <f>L23*L10</f>
        <v>2.21</v>
      </c>
    </row>
    <row r="27" spans="3:12" x14ac:dyDescent="0.3">
      <c r="C27" s="4" t="s">
        <v>11</v>
      </c>
      <c r="D27" s="1">
        <v>725</v>
      </c>
      <c r="K27" s="4" t="s">
        <v>129</v>
      </c>
      <c r="L27" s="21">
        <f>L10-L26</f>
        <v>0.39000000000000012</v>
      </c>
    </row>
    <row r="28" spans="3:12" x14ac:dyDescent="0.3">
      <c r="C28" s="4" t="s">
        <v>12</v>
      </c>
      <c r="D28" s="1">
        <v>1400</v>
      </c>
      <c r="K28" s="4" t="s">
        <v>130</v>
      </c>
      <c r="L28" s="21">
        <f>L27/L9</f>
        <v>0.44091284860481911</v>
      </c>
    </row>
    <row r="29" spans="3:12" x14ac:dyDescent="0.3">
      <c r="C29" s="4" t="s">
        <v>13</v>
      </c>
      <c r="D29" s="1">
        <v>1800</v>
      </c>
      <c r="K29" s="4" t="s">
        <v>131</v>
      </c>
      <c r="L29" s="21">
        <f>L13-L21</f>
        <v>0.15791277937810477</v>
      </c>
    </row>
    <row r="30" spans="3:12" x14ac:dyDescent="0.3">
      <c r="C30" s="4" t="s">
        <v>14</v>
      </c>
      <c r="D30" s="1"/>
      <c r="K30" s="4" t="s">
        <v>132</v>
      </c>
      <c r="L30" s="21">
        <f>E5/E6/3600/L29</f>
        <v>2.0400747644666137</v>
      </c>
    </row>
    <row r="31" spans="3:12" x14ac:dyDescent="0.3">
      <c r="C31" s="4" t="s">
        <v>15</v>
      </c>
      <c r="D31" s="1" t="s">
        <v>28</v>
      </c>
      <c r="K31" s="4" t="s">
        <v>133</v>
      </c>
      <c r="L31" s="21">
        <f>L30*L28</f>
        <v>0.89949517576778004</v>
      </c>
    </row>
    <row r="32" spans="3:12" x14ac:dyDescent="0.3">
      <c r="C32" s="4" t="s">
        <v>29</v>
      </c>
      <c r="D32" s="1"/>
      <c r="K32" s="1" t="s">
        <v>88</v>
      </c>
      <c r="L32" s="1" t="s">
        <v>3</v>
      </c>
    </row>
    <row r="33" spans="3:13" x14ac:dyDescent="0.3">
      <c r="C33" s="4" t="s">
        <v>6</v>
      </c>
      <c r="D33" s="1"/>
      <c r="K33" s="30" t="s">
        <v>84</v>
      </c>
      <c r="L33" s="31">
        <v>18</v>
      </c>
    </row>
    <row r="34" spans="3:13" x14ac:dyDescent="0.3">
      <c r="C34" s="4" t="s">
        <v>35</v>
      </c>
      <c r="D34" s="1"/>
      <c r="K34" s="30" t="s">
        <v>90</v>
      </c>
      <c r="L34" s="31">
        <f>((PI()/4)*(L33*25.4/1000)^2)</f>
        <v>0.16417322322758926</v>
      </c>
    </row>
    <row r="35" spans="3:13" x14ac:dyDescent="0.3">
      <c r="C35" s="4" t="s">
        <v>31</v>
      </c>
      <c r="D35" s="1"/>
      <c r="K35" s="30" t="s">
        <v>134</v>
      </c>
      <c r="L35" s="31">
        <f>(D5+E5)/((D5/D6)+(E5/E6))</f>
        <v>168.14764916122257</v>
      </c>
    </row>
    <row r="36" spans="3:13" x14ac:dyDescent="0.3">
      <c r="C36" s="4" t="s">
        <v>32</v>
      </c>
      <c r="D36" s="1"/>
      <c r="K36" s="30" t="s">
        <v>92</v>
      </c>
      <c r="L36" s="31">
        <f>(D5+E5)/L35/3600/L34</f>
        <v>2.4824503180755064</v>
      </c>
    </row>
    <row r="37" spans="3:13" x14ac:dyDescent="0.3">
      <c r="C37" s="4" t="s">
        <v>33</v>
      </c>
      <c r="D37" s="1"/>
      <c r="K37" s="30" t="s">
        <v>135</v>
      </c>
      <c r="L37" s="31">
        <f>L35*L36*L36</f>
        <v>1036.2199064810388</v>
      </c>
      <c r="M37" s="27">
        <v>6000</v>
      </c>
    </row>
    <row r="38" spans="3:13" x14ac:dyDescent="0.3">
      <c r="C38" s="4" t="s">
        <v>43</v>
      </c>
      <c r="D38" s="1" t="s">
        <v>44</v>
      </c>
      <c r="K38" s="30" t="s">
        <v>136</v>
      </c>
      <c r="L38" s="31">
        <f>E6*((E5/E6/3600/L34)^2)</f>
        <v>21.909594469804354</v>
      </c>
      <c r="M38" s="27">
        <v>3750</v>
      </c>
    </row>
    <row r="39" spans="3:13" x14ac:dyDescent="0.3">
      <c r="C39" s="4" t="s">
        <v>3</v>
      </c>
      <c r="D39" s="1">
        <v>18</v>
      </c>
      <c r="K39" s="17" t="s">
        <v>88</v>
      </c>
      <c r="L39" s="1" t="s">
        <v>137</v>
      </c>
    </row>
    <row r="40" spans="3:13" x14ac:dyDescent="0.3">
      <c r="C40" s="25" t="s">
        <v>139</v>
      </c>
      <c r="D40" s="1">
        <v>8</v>
      </c>
      <c r="K40" s="30" t="s">
        <v>84</v>
      </c>
      <c r="L40" s="31">
        <v>6</v>
      </c>
    </row>
    <row r="41" spans="3:13" x14ac:dyDescent="0.3">
      <c r="C41" s="25" t="s">
        <v>140</v>
      </c>
      <c r="D41" s="1">
        <v>14</v>
      </c>
      <c r="K41" s="30" t="s">
        <v>90</v>
      </c>
      <c r="L41" s="31">
        <f>(PI()/4)*((L40*25.4/1000)^2)</f>
        <v>1.8241469247509915E-2</v>
      </c>
    </row>
    <row r="42" spans="3:13" x14ac:dyDescent="0.3">
      <c r="C42" s="3"/>
      <c r="D42" s="1"/>
      <c r="K42" s="30" t="s">
        <v>92</v>
      </c>
      <c r="L42" s="31">
        <f>E5/E6/3600/L41</f>
        <v>17.660522396792771</v>
      </c>
    </row>
    <row r="43" spans="3:13" x14ac:dyDescent="0.3">
      <c r="C43" s="3"/>
      <c r="D43" s="1"/>
      <c r="K43" s="30" t="s">
        <v>136</v>
      </c>
      <c r="L43" s="31">
        <f>E6*L42^2</f>
        <v>1774.6771520541527</v>
      </c>
      <c r="M43" s="27">
        <v>3750</v>
      </c>
    </row>
    <row r="44" spans="3:13" x14ac:dyDescent="0.3">
      <c r="C44" s="3"/>
      <c r="D44" s="1"/>
      <c r="K44" s="17" t="s">
        <v>88</v>
      </c>
      <c r="L44" s="1" t="s">
        <v>0</v>
      </c>
    </row>
    <row r="45" spans="3:13" x14ac:dyDescent="0.3">
      <c r="C45" s="4"/>
      <c r="D45" s="16" t="s">
        <v>73</v>
      </c>
      <c r="K45" s="30" t="s">
        <v>84</v>
      </c>
      <c r="L45" s="31">
        <v>14</v>
      </c>
    </row>
    <row r="46" spans="3:13" x14ac:dyDescent="0.3">
      <c r="C46" s="4" t="s">
        <v>64</v>
      </c>
      <c r="D46" s="15">
        <f>D22/D21</f>
        <v>3.0352941176470587</v>
      </c>
      <c r="K46" s="30" t="s">
        <v>90</v>
      </c>
      <c r="L46" s="31">
        <f>(PI()/4)*((L45*25.4/1000)^2)</f>
        <v>9.9314665903109542E-2</v>
      </c>
    </row>
    <row r="47" spans="3:13" x14ac:dyDescent="0.3">
      <c r="C47" s="4" t="s">
        <v>141</v>
      </c>
      <c r="D47" s="15">
        <v>0</v>
      </c>
      <c r="K47" s="30" t="s">
        <v>138</v>
      </c>
      <c r="L47" s="31">
        <f>D5/D6/3600/L46</f>
        <v>0.85987294271389958</v>
      </c>
      <c r="M47" s="27">
        <v>1</v>
      </c>
    </row>
    <row r="48" spans="3:13" x14ac:dyDescent="0.3">
      <c r="C48" s="4"/>
      <c r="D48" s="15"/>
      <c r="K48" s="17"/>
      <c r="L48" s="1"/>
    </row>
    <row r="49" spans="3:12" x14ac:dyDescent="0.3">
      <c r="C49" s="4"/>
      <c r="D49" s="15"/>
      <c r="K49" s="30" t="s">
        <v>114</v>
      </c>
      <c r="L49" s="31">
        <f xml:space="preserve"> L31+1.5*((L40+L33)*25.4/1000)</f>
        <v>1.8138951757677799</v>
      </c>
    </row>
    <row r="50" spans="3:12" x14ac:dyDescent="0.3">
      <c r="C50" s="4" t="s">
        <v>68</v>
      </c>
      <c r="D50" s="15">
        <v>325</v>
      </c>
      <c r="L50" s="31"/>
    </row>
    <row r="51" spans="3:12" x14ac:dyDescent="0.3">
      <c r="C51" s="4" t="s">
        <v>69</v>
      </c>
      <c r="D51" s="15">
        <v>400</v>
      </c>
      <c r="L51" s="31"/>
    </row>
    <row r="52" spans="3:12" x14ac:dyDescent="0.3">
      <c r="C52" s="4" t="s">
        <v>70</v>
      </c>
      <c r="D52" s="15">
        <v>675</v>
      </c>
    </row>
    <row r="53" spans="3:12" x14ac:dyDescent="0.3">
      <c r="C53" s="4" t="s">
        <v>71</v>
      </c>
      <c r="D53" s="15">
        <v>400</v>
      </c>
    </row>
    <row r="54" spans="3:12" x14ac:dyDescent="0.3">
      <c r="C54" s="4" t="s">
        <v>72</v>
      </c>
      <c r="D54" s="15">
        <v>325</v>
      </c>
    </row>
    <row r="55" spans="3:12" x14ac:dyDescent="0.3">
      <c r="C55" s="4" t="s">
        <v>75</v>
      </c>
      <c r="D55" s="15"/>
    </row>
    <row r="56" spans="3:12" x14ac:dyDescent="0.3">
      <c r="C56" s="4" t="s">
        <v>76</v>
      </c>
      <c r="D56" s="15">
        <f xml:space="preserve"> 875 +D42</f>
        <v>875</v>
      </c>
    </row>
    <row r="57" spans="3:12" x14ac:dyDescent="0.3">
      <c r="C57" s="4" t="s">
        <v>78</v>
      </c>
      <c r="D57" s="15"/>
    </row>
  </sheetData>
  <pageMargins left="0.7" right="0.7" top="0.75" bottom="0.75" header="0.3" footer="0.3"/>
  <pageSetup orientation="landscape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D-1001</vt:lpstr>
      <vt:lpstr>D-2011</vt:lpstr>
      <vt:lpstr>D-2002</vt:lpstr>
      <vt:lpstr>D-2003</vt:lpstr>
      <vt:lpstr>D-2004</vt:lpstr>
      <vt:lpstr>D-2005</vt:lpstr>
      <vt:lpstr>D-3001</vt:lpstr>
      <vt:lpstr>D-6001</vt:lpstr>
      <vt:lpstr>D-3002</vt:lpstr>
      <vt:lpstr>D-3002 (2)</vt:lpstr>
      <vt:lpstr>Sheet3</vt:lpstr>
      <vt:lpstr>D-5001</vt:lpstr>
      <vt:lpstr>D-5003</vt:lpstr>
      <vt:lpstr>D-5002</vt:lpstr>
      <vt:lpstr>D-3011</vt:lpstr>
      <vt:lpstr>D-3012</vt:lpstr>
      <vt:lpstr>D-7001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Behrouzi Mohamadreza</dc:creator>
  <cp:lastModifiedBy>Behrouzi</cp:lastModifiedBy>
  <dcterms:created xsi:type="dcterms:W3CDTF">2015-06-05T18:17:20Z</dcterms:created>
  <dcterms:modified xsi:type="dcterms:W3CDTF">2022-11-09T19:20:30Z</dcterms:modified>
</cp:coreProperties>
</file>