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YSTEM\Desktop\"/>
    </mc:Choice>
  </mc:AlternateContent>
  <bookViews>
    <workbookView xWindow="0" yWindow="0" windowWidth="23028" windowHeight="9636" activeTab="4"/>
  </bookViews>
  <sheets>
    <sheet name="V-Total" sheetId="1" r:id="rId1"/>
    <sheet name="V-York" sheetId="2" r:id="rId2"/>
    <sheet name="V-SP9,10" sheetId="3" r:id="rId3"/>
    <sheet name="Horizontal-Conv." sheetId="4" r:id="rId4"/>
    <sheet name="Horizontal-Total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5" l="1"/>
  <c r="C27" i="5"/>
  <c r="C33" i="5" s="1"/>
  <c r="C21" i="5"/>
  <c r="C22" i="5" s="1"/>
  <c r="B21" i="5"/>
  <c r="B22" i="5" s="1"/>
  <c r="B17" i="5"/>
  <c r="B18" i="5" s="1"/>
  <c r="B15" i="5"/>
  <c r="B42" i="5"/>
  <c r="J41" i="5"/>
  <c r="J43" i="5" s="1"/>
  <c r="F41" i="5"/>
  <c r="F45" i="5" s="1"/>
  <c r="B41" i="5"/>
  <c r="B45" i="5" s="1"/>
  <c r="D3" i="5"/>
  <c r="D38" i="4"/>
  <c r="B37" i="4"/>
  <c r="B38" i="4" s="1"/>
  <c r="B35" i="4"/>
  <c r="B27" i="4"/>
  <c r="B28" i="4" s="1"/>
  <c r="B29" i="4" s="1"/>
  <c r="B23" i="4"/>
  <c r="B21" i="4"/>
  <c r="B30" i="4" s="1"/>
  <c r="D3" i="4"/>
  <c r="B15" i="4" s="1"/>
  <c r="B48" i="4"/>
  <c r="J47" i="4"/>
  <c r="J49" i="4" s="1"/>
  <c r="F47" i="4"/>
  <c r="F49" i="4" s="1"/>
  <c r="B47" i="4"/>
  <c r="B51" i="4" s="1"/>
  <c r="B14" i="3"/>
  <c r="B16" i="3"/>
  <c r="B16" i="2"/>
  <c r="B14" i="2"/>
  <c r="B15" i="2" s="1"/>
  <c r="B34" i="1"/>
  <c r="J23" i="1"/>
  <c r="J25" i="1" s="1"/>
  <c r="F23" i="1"/>
  <c r="F27" i="1" s="1"/>
  <c r="B24" i="1"/>
  <c r="B23" i="1"/>
  <c r="B16" i="1"/>
  <c r="B15" i="1"/>
  <c r="B13" i="1"/>
  <c r="B48" i="5" l="1"/>
  <c r="B30" i="5"/>
  <c r="B31" i="5" s="1"/>
  <c r="B32" i="5" s="1"/>
  <c r="B24" i="5"/>
  <c r="B25" i="5" s="1"/>
  <c r="C24" i="5"/>
  <c r="C30" i="5"/>
  <c r="C31" i="5" s="1"/>
  <c r="C32" i="5" s="1"/>
  <c r="B43" i="5"/>
  <c r="F43" i="5"/>
  <c r="B44" i="5"/>
  <c r="B31" i="4"/>
  <c r="B32" i="4" s="1"/>
  <c r="B33" i="4" s="1"/>
  <c r="B36" i="4" s="1"/>
  <c r="B49" i="4"/>
  <c r="F51" i="4"/>
  <c r="B50" i="4"/>
  <c r="B14" i="4"/>
  <c r="B16" i="4" s="1"/>
  <c r="B17" i="4" s="1"/>
  <c r="B39" i="4" s="1"/>
  <c r="F25" i="1"/>
  <c r="B26" i="1"/>
  <c r="B17" i="1"/>
  <c r="B18" i="1" s="1"/>
  <c r="B33" i="1" s="1"/>
  <c r="B25" i="1"/>
  <c r="B15" i="3"/>
  <c r="B17" i="3" s="1"/>
  <c r="B18" i="3" s="1"/>
  <c r="B17" i="2"/>
  <c r="B18" i="2" s="1"/>
  <c r="B27" i="1"/>
  <c r="B26" i="5" l="1"/>
  <c r="B27" i="5" s="1"/>
  <c r="B33" i="5" s="1"/>
  <c r="B34" i="5" s="1"/>
  <c r="B23" i="5"/>
  <c r="C34" i="5"/>
  <c r="C23" i="5"/>
  <c r="B40" i="4"/>
  <c r="B32" i="1"/>
  <c r="B37" i="1"/>
  <c r="B31" i="1"/>
  <c r="B35" i="1"/>
  <c r="C35" i="5" l="1"/>
  <c r="C36" i="5" s="1"/>
  <c r="B35" i="5"/>
  <c r="B36" i="5" s="1"/>
  <c r="B41" i="4"/>
  <c r="B42" i="4" s="1"/>
  <c r="B54" i="4" s="1"/>
  <c r="B56" i="4" s="1"/>
  <c r="B39" i="1"/>
  <c r="B40" i="1" s="1"/>
</calcChain>
</file>

<file path=xl/sharedStrings.xml><?xml version="1.0" encoding="utf-8"?>
<sst xmlns="http://schemas.openxmlformats.org/spreadsheetml/2006/main" count="293" uniqueCount="94">
  <si>
    <t>OP</t>
  </si>
  <si>
    <t>bara</t>
  </si>
  <si>
    <t>OT</t>
  </si>
  <si>
    <t>°C</t>
  </si>
  <si>
    <t>kg/h</t>
  </si>
  <si>
    <t>kg/m3</t>
  </si>
  <si>
    <t>m_g</t>
  </si>
  <si>
    <t>rho_g</t>
  </si>
  <si>
    <t>m_l</t>
  </si>
  <si>
    <t>rho_l</t>
  </si>
  <si>
    <t>with demister</t>
  </si>
  <si>
    <t>rho_l/rho_g-1</t>
  </si>
  <si>
    <t>vs</t>
  </si>
  <si>
    <t>m/s</t>
  </si>
  <si>
    <t>vg</t>
  </si>
  <si>
    <t>Qg</t>
  </si>
  <si>
    <t>m3/s</t>
  </si>
  <si>
    <t>D</t>
  </si>
  <si>
    <t>m</t>
  </si>
  <si>
    <t>ID</t>
  </si>
  <si>
    <t>Selected ID</t>
  </si>
  <si>
    <t>Calculation of vessel length</t>
  </si>
  <si>
    <t>h8</t>
  </si>
  <si>
    <t>mm</t>
  </si>
  <si>
    <t>assume botton connected LC</t>
  </si>
  <si>
    <t>h7</t>
  </si>
  <si>
    <t>h6</t>
  </si>
  <si>
    <t>holdup time</t>
  </si>
  <si>
    <t>min</t>
  </si>
  <si>
    <t>h5</t>
  </si>
  <si>
    <t>Nozzle Sizing</t>
  </si>
  <si>
    <t>inlet</t>
  </si>
  <si>
    <t>id</t>
  </si>
  <si>
    <t>in</t>
  </si>
  <si>
    <t>nozzle area</t>
  </si>
  <si>
    <t>m2</t>
  </si>
  <si>
    <t>rho_m</t>
  </si>
  <si>
    <t>rho_mxV^2</t>
  </si>
  <si>
    <t>rho_gxV^2</t>
  </si>
  <si>
    <t>kg/m.s2</t>
  </si>
  <si>
    <t>&lt;=6000</t>
  </si>
  <si>
    <t>&lt;=3750</t>
  </si>
  <si>
    <t>vapor</t>
  </si>
  <si>
    <t>liquid</t>
  </si>
  <si>
    <t>Vm</t>
  </si>
  <si>
    <t>h4</t>
  </si>
  <si>
    <t>h3</t>
  </si>
  <si>
    <t>h2</t>
  </si>
  <si>
    <t>h1</t>
  </si>
  <si>
    <t>total L</t>
  </si>
  <si>
    <t>check L/d</t>
  </si>
  <si>
    <t>2&lt;L/D&lt;4</t>
  </si>
  <si>
    <t>k</t>
  </si>
  <si>
    <t>vc</t>
  </si>
  <si>
    <t>LLL-HLL</t>
  </si>
  <si>
    <t>psia</t>
  </si>
  <si>
    <t>York Method</t>
  </si>
  <si>
    <t>GPSA</t>
  </si>
  <si>
    <t>vt</t>
  </si>
  <si>
    <t>assume D</t>
  </si>
  <si>
    <t>select L/D</t>
  </si>
  <si>
    <t>L</t>
  </si>
  <si>
    <t>At</t>
  </si>
  <si>
    <t>BTM-LLLL</t>
  </si>
  <si>
    <t>LLLL-LLL</t>
  </si>
  <si>
    <t>θ</t>
  </si>
  <si>
    <t>A(LLL-HLL)</t>
  </si>
  <si>
    <t>LLL/D</t>
  </si>
  <si>
    <t>A(LLL)/At</t>
  </si>
  <si>
    <t>A(LLL)</t>
  </si>
  <si>
    <t>A(HLL)</t>
  </si>
  <si>
    <t>A(HLL)/At</t>
  </si>
  <si>
    <t>HLL/D</t>
  </si>
  <si>
    <t>error</t>
  </si>
  <si>
    <t>HLL</t>
  </si>
  <si>
    <t>Hv</t>
  </si>
  <si>
    <t>phi</t>
  </si>
  <si>
    <t>s</t>
  </si>
  <si>
    <t>Uv</t>
  </si>
  <si>
    <t>Av</t>
  </si>
  <si>
    <t>Lmin</t>
  </si>
  <si>
    <t>overdesign</t>
  </si>
  <si>
    <t>LT</t>
  </si>
  <si>
    <t>required L for vapor separation</t>
  </si>
  <si>
    <t>min. Hv</t>
  </si>
  <si>
    <t>2.5&lt;=L/D&lt;=5</t>
  </si>
  <si>
    <t>&lt; 1</t>
  </si>
  <si>
    <r>
      <t>(</t>
    </r>
    <r>
      <rPr>
        <sz val="11"/>
        <color theme="1"/>
        <rFont val="Calibri"/>
        <family val="2"/>
      </rPr>
      <t>ρl/ρv-1)</t>
    </r>
  </si>
  <si>
    <t>L/D</t>
  </si>
  <si>
    <t>AHLL/At</t>
  </si>
  <si>
    <t>Av/At</t>
  </si>
  <si>
    <t>AHLL req.</t>
  </si>
  <si>
    <t>AHLL available</t>
  </si>
  <si>
    <t>AHLL req.-avail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</si>
</sst>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00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66" fontId="0" fillId="0" borderId="0" xfId="0" applyNumberFormat="1"/>
    <xf numFmtId="1" fontId="0" fillId="0" borderId="0" xfId="0" applyNumberFormat="1"/>
    <xf numFmtId="0" fontId="0" fillId="0" borderId="0" xfId="0" applyFill="1"/>
    <xf numFmtId="166" fontId="0" fillId="2" borderId="0" xfId="0" applyNumberFormat="1" applyFill="1"/>
    <xf numFmtId="167" fontId="0" fillId="2" borderId="0" xfId="0" applyNumberFormat="1" applyFill="1"/>
    <xf numFmtId="1" fontId="0" fillId="2" borderId="0" xfId="0" applyNumberFormat="1" applyFill="1"/>
    <xf numFmtId="0" fontId="2" fillId="0" borderId="0" xfId="0" applyFont="1"/>
    <xf numFmtId="0" fontId="0" fillId="3" borderId="0" xfId="0" applyFill="1"/>
    <xf numFmtId="10" fontId="0" fillId="2" borderId="0" xfId="0" applyNumberFormat="1" applyFill="1"/>
    <xf numFmtId="0" fontId="2" fillId="0" borderId="0" xfId="0" applyFont="1" applyFill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0"/>
  <sheetViews>
    <sheetView zoomScale="145" zoomScaleNormal="145" workbookViewId="0">
      <selection activeCell="C21" sqref="C21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11</v>
      </c>
      <c r="B13" s="3">
        <f>B9/B7-1</f>
        <v>384.71428571428572</v>
      </c>
    </row>
    <row r="14" spans="1:3" x14ac:dyDescent="0.55000000000000004">
      <c r="A14" t="s">
        <v>12</v>
      </c>
      <c r="B14" s="1">
        <v>1.6</v>
      </c>
      <c r="C14" t="s">
        <v>13</v>
      </c>
    </row>
    <row r="15" spans="1:3" x14ac:dyDescent="0.55000000000000004">
      <c r="A15" t="s">
        <v>14</v>
      </c>
      <c r="B15">
        <f>B14*0.85</f>
        <v>1.36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11" x14ac:dyDescent="0.55000000000000004">
      <c r="A17" t="s">
        <v>19</v>
      </c>
      <c r="B17">
        <f>(B16/B15*4/PI())^0.5</f>
        <v>0.95014190265724019</v>
      </c>
      <c r="C17" t="s">
        <v>18</v>
      </c>
    </row>
    <row r="18" spans="1:11" x14ac:dyDescent="0.55000000000000004">
      <c r="A18" t="s">
        <v>20</v>
      </c>
      <c r="B18">
        <f>B17+0.15</f>
        <v>1.1001419026572401</v>
      </c>
      <c r="C18" t="s">
        <v>18</v>
      </c>
    </row>
    <row r="20" spans="1:11" x14ac:dyDescent="0.55000000000000004">
      <c r="B20" t="s">
        <v>30</v>
      </c>
    </row>
    <row r="21" spans="1:11" x14ac:dyDescent="0.55000000000000004">
      <c r="A21" t="s">
        <v>31</v>
      </c>
      <c r="F21" t="s">
        <v>42</v>
      </c>
      <c r="J21" t="s">
        <v>43</v>
      </c>
    </row>
    <row r="22" spans="1:11" x14ac:dyDescent="0.55000000000000004">
      <c r="A22" t="s">
        <v>32</v>
      </c>
      <c r="B22" s="1">
        <v>8</v>
      </c>
      <c r="C22" t="s">
        <v>33</v>
      </c>
      <c r="F22" s="1">
        <v>8</v>
      </c>
      <c r="G22" t="s">
        <v>33</v>
      </c>
      <c r="J22" s="1">
        <v>3</v>
      </c>
      <c r="K22" t="s">
        <v>33</v>
      </c>
    </row>
    <row r="23" spans="1:11" x14ac:dyDescent="0.55000000000000004">
      <c r="A23" t="s">
        <v>34</v>
      </c>
      <c r="B23">
        <f>PI()/4*(B22*25.4/1000)^2</f>
        <v>3.2429278662239852E-2</v>
      </c>
      <c r="C23" t="s">
        <v>35</v>
      </c>
      <c r="F23">
        <f>PI()/4*(F22*25.4/1000)^2</f>
        <v>3.2429278662239852E-2</v>
      </c>
      <c r="G23" t="s">
        <v>35</v>
      </c>
      <c r="J23">
        <f>PI()/4*(J22*25.4/1000)^2</f>
        <v>4.5603673118774788E-3</v>
      </c>
      <c r="K23" t="s">
        <v>35</v>
      </c>
    </row>
    <row r="24" spans="1:11" x14ac:dyDescent="0.55000000000000004">
      <c r="A24" t="s">
        <v>36</v>
      </c>
      <c r="B24">
        <f>(B6+B8)/(B6/B7+B8/B9)</f>
        <v>5.2168328421704695</v>
      </c>
      <c r="C24" t="s">
        <v>5</v>
      </c>
    </row>
    <row r="25" spans="1:11" x14ac:dyDescent="0.55000000000000004">
      <c r="A25" t="s">
        <v>44</v>
      </c>
      <c r="B25">
        <f>((B6+B8)/B24/3600/B23)</f>
        <v>29.850194704271868</v>
      </c>
      <c r="F25">
        <f>(B6/B7/3600/F23)</f>
        <v>29.735034328978568</v>
      </c>
      <c r="J25">
        <f>B8/B9/3600/J23</f>
        <v>0.81891822430791583</v>
      </c>
      <c r="K25" t="s">
        <v>13</v>
      </c>
    </row>
    <row r="26" spans="1:11" x14ac:dyDescent="0.55000000000000004">
      <c r="A26" t="s">
        <v>37</v>
      </c>
      <c r="B26">
        <f>B24*((B6+B8)/B24/3600/B23)^2</f>
        <v>4648.376080967113</v>
      </c>
      <c r="C26" t="s">
        <v>39</v>
      </c>
      <c r="D26" t="s">
        <v>40</v>
      </c>
    </row>
    <row r="27" spans="1:11" x14ac:dyDescent="0.55000000000000004">
      <c r="A27" t="s">
        <v>38</v>
      </c>
      <c r="B27">
        <f>B7*(B6/B7/3600/B23)^2</f>
        <v>1856.7617597456212</v>
      </c>
      <c r="C27" t="s">
        <v>39</v>
      </c>
      <c r="D27" t="s">
        <v>41</v>
      </c>
      <c r="F27">
        <f>B7*(B6/B7/3600/F23)^2</f>
        <v>1856.7617597456212</v>
      </c>
      <c r="G27" t="s">
        <v>39</v>
      </c>
      <c r="H27" t="s">
        <v>41</v>
      </c>
    </row>
    <row r="29" spans="1:11" x14ac:dyDescent="0.55000000000000004">
      <c r="A29" t="s">
        <v>21</v>
      </c>
    </row>
    <row r="30" spans="1:11" x14ac:dyDescent="0.55000000000000004">
      <c r="A30" t="s">
        <v>22</v>
      </c>
      <c r="B30">
        <v>150</v>
      </c>
      <c r="C30" t="s">
        <v>23</v>
      </c>
      <c r="D30" t="s">
        <v>24</v>
      </c>
    </row>
    <row r="31" spans="1:11" x14ac:dyDescent="0.55000000000000004">
      <c r="A31" t="s">
        <v>25</v>
      </c>
      <c r="B31">
        <f>ROUNDUP(MAX(150,2*B8/B9/60/(PI()/4*B18^2)*1000),0)</f>
        <v>472</v>
      </c>
      <c r="C31" t="s">
        <v>23</v>
      </c>
    </row>
    <row r="32" spans="1:11" x14ac:dyDescent="0.55000000000000004">
      <c r="A32" t="s">
        <v>26</v>
      </c>
      <c r="B32">
        <f>ROUNDUP(MAX(150,B10*B8/B9/60/(PI()/4*B18^2)*1000),0)</f>
        <v>943</v>
      </c>
      <c r="C32" t="s">
        <v>23</v>
      </c>
    </row>
    <row r="33" spans="1:4" x14ac:dyDescent="0.55000000000000004">
      <c r="A33" t="s">
        <v>29</v>
      </c>
      <c r="B33">
        <f>ROUNDUP(MAX(200,2*B8/B9/60/(PI()/4*B18^2)*1000),0)</f>
        <v>472</v>
      </c>
      <c r="C33" t="s">
        <v>23</v>
      </c>
    </row>
    <row r="34" spans="1:4" x14ac:dyDescent="0.55000000000000004">
      <c r="A34" t="s">
        <v>45</v>
      </c>
      <c r="B34">
        <f>400+B22*25.4/2</f>
        <v>501.6</v>
      </c>
      <c r="C34" t="s">
        <v>23</v>
      </c>
    </row>
    <row r="35" spans="1:4" x14ac:dyDescent="0.55000000000000004">
      <c r="A35" t="s">
        <v>46</v>
      </c>
      <c r="B35">
        <f>MAX(0.5*B18*1000,600)</f>
        <v>600</v>
      </c>
      <c r="C35" t="s">
        <v>23</v>
      </c>
    </row>
    <row r="36" spans="1:4" x14ac:dyDescent="0.55000000000000004">
      <c r="A36" t="s">
        <v>47</v>
      </c>
      <c r="B36">
        <v>150</v>
      </c>
      <c r="C36" t="s">
        <v>23</v>
      </c>
    </row>
    <row r="37" spans="1:4" x14ac:dyDescent="0.55000000000000004">
      <c r="A37" t="s">
        <v>48</v>
      </c>
      <c r="B37">
        <f>MAX(0.15*B18*1000,400)</f>
        <v>400</v>
      </c>
      <c r="C37" t="s">
        <v>23</v>
      </c>
    </row>
    <row r="39" spans="1:4" x14ac:dyDescent="0.55000000000000004">
      <c r="A39" t="s">
        <v>49</v>
      </c>
      <c r="B39">
        <f>SUM(B30:B37)/1000</f>
        <v>3.6886000000000001</v>
      </c>
      <c r="C39" t="s">
        <v>18</v>
      </c>
    </row>
    <row r="40" spans="1:4" x14ac:dyDescent="0.55000000000000004">
      <c r="A40" t="s">
        <v>50</v>
      </c>
      <c r="B40">
        <f>B39/B18</f>
        <v>3.3528402027872031</v>
      </c>
      <c r="D40" t="s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zoomScale="145" zoomScaleNormal="145" workbookViewId="0">
      <selection activeCell="B13" sqref="B13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52</v>
      </c>
      <c r="B13" s="5">
        <v>0.107</v>
      </c>
      <c r="C13" t="s">
        <v>13</v>
      </c>
    </row>
    <row r="14" spans="1:3" x14ac:dyDescent="0.55000000000000004">
      <c r="A14" t="s">
        <v>12</v>
      </c>
      <c r="B14" s="4">
        <f>B13*((B9-B7)/B7)^0.5</f>
        <v>2.0987124284052965</v>
      </c>
      <c r="C14" t="s">
        <v>13</v>
      </c>
    </row>
    <row r="15" spans="1:3" x14ac:dyDescent="0.55000000000000004">
      <c r="A15" t="s">
        <v>14</v>
      </c>
      <c r="B15">
        <f>B14*0.75</f>
        <v>1.5740343213039725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3" x14ac:dyDescent="0.55000000000000004">
      <c r="A17" t="s">
        <v>19</v>
      </c>
      <c r="B17">
        <f>(B16/B15*4/PI())^0.5</f>
        <v>0.88318325606102199</v>
      </c>
      <c r="C17" t="s">
        <v>18</v>
      </c>
    </row>
    <row r="18" spans="1:3" x14ac:dyDescent="0.55000000000000004">
      <c r="A18" t="s">
        <v>20</v>
      </c>
      <c r="B18">
        <f>B17+0.15</f>
        <v>1.0331832560610219</v>
      </c>
      <c r="C18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zoomScale="145" zoomScaleNormal="145" workbookViewId="0">
      <selection activeCell="E16" sqref="E16"/>
    </sheetView>
  </sheetViews>
  <sheetFormatPr defaultRowHeight="14.4" x14ac:dyDescent="0.55000000000000004"/>
  <cols>
    <col min="1" max="1" width="11.68359375" bestFit="1" customWidth="1"/>
    <col min="2" max="2" width="9.15625" bestFit="1" customWidth="1"/>
  </cols>
  <sheetData>
    <row r="3" spans="1:3" x14ac:dyDescent="0.55000000000000004">
      <c r="A3" t="s">
        <v>0</v>
      </c>
      <c r="B3" s="1">
        <v>1.04</v>
      </c>
      <c r="C3" t="s">
        <v>1</v>
      </c>
    </row>
    <row r="4" spans="1:3" x14ac:dyDescent="0.55000000000000004">
      <c r="A4" t="s">
        <v>2</v>
      </c>
      <c r="B4" s="1">
        <v>34</v>
      </c>
      <c r="C4" t="s">
        <v>3</v>
      </c>
    </row>
    <row r="6" spans="1:3" x14ac:dyDescent="0.55000000000000004">
      <c r="A6" t="s">
        <v>6</v>
      </c>
      <c r="B6" s="1">
        <v>7290</v>
      </c>
      <c r="C6" t="s">
        <v>4</v>
      </c>
    </row>
    <row r="7" spans="1:3" x14ac:dyDescent="0.55000000000000004">
      <c r="A7" t="s">
        <v>7</v>
      </c>
      <c r="B7" s="1">
        <v>2.1</v>
      </c>
      <c r="C7" t="s">
        <v>5</v>
      </c>
    </row>
    <row r="8" spans="1:3" x14ac:dyDescent="0.55000000000000004">
      <c r="A8" t="s">
        <v>8</v>
      </c>
      <c r="B8" s="1">
        <v>10890</v>
      </c>
      <c r="C8" t="s">
        <v>4</v>
      </c>
    </row>
    <row r="9" spans="1:3" x14ac:dyDescent="0.55000000000000004">
      <c r="A9" t="s">
        <v>9</v>
      </c>
      <c r="B9" s="1">
        <v>810</v>
      </c>
      <c r="C9" t="s">
        <v>5</v>
      </c>
    </row>
    <row r="10" spans="1:3" x14ac:dyDescent="0.55000000000000004">
      <c r="A10" t="s">
        <v>27</v>
      </c>
      <c r="B10" s="1">
        <v>4</v>
      </c>
      <c r="C10" t="s">
        <v>28</v>
      </c>
    </row>
    <row r="12" spans="1:3" x14ac:dyDescent="0.55000000000000004">
      <c r="B12" t="s">
        <v>10</v>
      </c>
    </row>
    <row r="13" spans="1:3" x14ac:dyDescent="0.55000000000000004">
      <c r="A13" t="s">
        <v>52</v>
      </c>
      <c r="B13" s="5">
        <v>1.7</v>
      </c>
    </row>
    <row r="14" spans="1:3" x14ac:dyDescent="0.55000000000000004">
      <c r="A14" t="s">
        <v>53</v>
      </c>
      <c r="B14" s="4">
        <f>0.048*((B9-B7)/B7)^0.5</f>
        <v>0.94147847255564698</v>
      </c>
      <c r="C14" t="s">
        <v>13</v>
      </c>
    </row>
    <row r="15" spans="1:3" x14ac:dyDescent="0.55000000000000004">
      <c r="A15" t="s">
        <v>14</v>
      </c>
      <c r="B15">
        <f>B14*B13</f>
        <v>1.6005134033445998</v>
      </c>
      <c r="C15" t="s">
        <v>13</v>
      </c>
    </row>
    <row r="16" spans="1:3" x14ac:dyDescent="0.55000000000000004">
      <c r="A16" t="s">
        <v>15</v>
      </c>
      <c r="B16">
        <f>B6/B7/3600</f>
        <v>0.96428571428571419</v>
      </c>
      <c r="C16" t="s">
        <v>16</v>
      </c>
    </row>
    <row r="17" spans="1:3" x14ac:dyDescent="0.55000000000000004">
      <c r="A17" t="s">
        <v>19</v>
      </c>
      <c r="B17">
        <f>(B16/B15*4/PI())^0.5</f>
        <v>0.87584704287373627</v>
      </c>
      <c r="C17" t="s">
        <v>18</v>
      </c>
    </row>
    <row r="18" spans="1:3" x14ac:dyDescent="0.55000000000000004">
      <c r="A18" t="s">
        <v>20</v>
      </c>
      <c r="B18">
        <f>B17+0.15</f>
        <v>1.0258470428737363</v>
      </c>
      <c r="C18" t="s">
        <v>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6"/>
  <sheetViews>
    <sheetView topLeftCell="A28" zoomScale="145" zoomScaleNormal="145" workbookViewId="0">
      <selection activeCell="D38" sqref="D38:E38"/>
    </sheetView>
  </sheetViews>
  <sheetFormatPr defaultRowHeight="14.4" x14ac:dyDescent="0.55000000000000004"/>
  <cols>
    <col min="1" max="1" width="12.734375" customWidth="1"/>
    <col min="2" max="2" width="9.15625" bestFit="1" customWidth="1"/>
  </cols>
  <sheetData>
    <row r="3" spans="1:5" x14ac:dyDescent="0.55000000000000004">
      <c r="A3" t="s">
        <v>0</v>
      </c>
      <c r="B3" s="1">
        <v>24</v>
      </c>
      <c r="C3" t="s">
        <v>1</v>
      </c>
      <c r="D3">
        <f>B3*14.5</f>
        <v>348</v>
      </c>
      <c r="E3" t="s">
        <v>55</v>
      </c>
    </row>
    <row r="4" spans="1:5" x14ac:dyDescent="0.55000000000000004">
      <c r="A4" t="s">
        <v>2</v>
      </c>
      <c r="B4" s="1">
        <v>0.3</v>
      </c>
      <c r="C4" t="s">
        <v>3</v>
      </c>
    </row>
    <row r="6" spans="1:5" x14ac:dyDescent="0.55000000000000004">
      <c r="A6" t="s">
        <v>6</v>
      </c>
      <c r="B6" s="7">
        <v>95818.1562289914</v>
      </c>
      <c r="C6" t="s">
        <v>4</v>
      </c>
    </row>
    <row r="7" spans="1:5" x14ac:dyDescent="0.55000000000000004">
      <c r="A7" t="s">
        <v>7</v>
      </c>
      <c r="B7" s="6">
        <v>46.732997998426498</v>
      </c>
      <c r="C7" t="s">
        <v>5</v>
      </c>
    </row>
    <row r="8" spans="1:5" x14ac:dyDescent="0.55000000000000004">
      <c r="A8" t="s">
        <v>8</v>
      </c>
      <c r="B8" s="7">
        <v>178933.358855678</v>
      </c>
      <c r="C8" t="s">
        <v>4</v>
      </c>
    </row>
    <row r="9" spans="1:5" x14ac:dyDescent="0.55000000000000004">
      <c r="A9" t="s">
        <v>9</v>
      </c>
      <c r="B9" s="6">
        <v>403.90306466821397</v>
      </c>
      <c r="C9" t="s">
        <v>5</v>
      </c>
    </row>
    <row r="10" spans="1:5" x14ac:dyDescent="0.55000000000000004">
      <c r="A10" t="s">
        <v>27</v>
      </c>
      <c r="B10" s="1">
        <v>5</v>
      </c>
      <c r="C10" t="s">
        <v>28</v>
      </c>
      <c r="D10" t="s">
        <v>54</v>
      </c>
    </row>
    <row r="11" spans="1:5" x14ac:dyDescent="0.55000000000000004">
      <c r="A11" t="s">
        <v>81</v>
      </c>
      <c r="B11" s="10">
        <v>0</v>
      </c>
    </row>
    <row r="13" spans="1:5" x14ac:dyDescent="0.55000000000000004">
      <c r="B13" t="s">
        <v>10</v>
      </c>
    </row>
    <row r="14" spans="1:5" x14ac:dyDescent="0.55000000000000004">
      <c r="A14" t="s">
        <v>52</v>
      </c>
      <c r="B14" s="2">
        <f>IF(D3&lt;15,(0.1821+0.0029*D3+0.046*LN(D3)),IF(D3&lt;=40,0.35,(0.43-0.023*LN(D3))))*0.3048</f>
        <v>9.0037719735789029E-2</v>
      </c>
      <c r="C14" t="s">
        <v>13</v>
      </c>
      <c r="D14" t="s">
        <v>56</v>
      </c>
    </row>
    <row r="15" spans="1:5" x14ac:dyDescent="0.55000000000000004">
      <c r="A15" t="s">
        <v>52</v>
      </c>
      <c r="B15" s="2">
        <f>(0.35-0.01*((D3-100)/100))*0.3048</f>
        <v>9.9120960000000008E-2</v>
      </c>
      <c r="C15" t="s">
        <v>13</v>
      </c>
      <c r="D15" t="s">
        <v>57</v>
      </c>
    </row>
    <row r="16" spans="1:5" x14ac:dyDescent="0.55000000000000004">
      <c r="A16" t="s">
        <v>58</v>
      </c>
      <c r="B16" s="4">
        <f>B14*((B9-B7)/B7)^0.5</f>
        <v>0.24891449857679043</v>
      </c>
      <c r="C16" t="s">
        <v>13</v>
      </c>
    </row>
    <row r="17" spans="1:4" x14ac:dyDescent="0.55000000000000004">
      <c r="A17" t="s">
        <v>14</v>
      </c>
      <c r="B17">
        <f>B16*0.75</f>
        <v>0.18668587393259284</v>
      </c>
      <c r="C17" t="s">
        <v>13</v>
      </c>
    </row>
    <row r="19" spans="1:4" x14ac:dyDescent="0.55000000000000004">
      <c r="A19" t="s">
        <v>59</v>
      </c>
      <c r="B19" s="1">
        <v>2.5</v>
      </c>
      <c r="C19" t="s">
        <v>18</v>
      </c>
    </row>
    <row r="20" spans="1:4" x14ac:dyDescent="0.55000000000000004">
      <c r="A20" t="s">
        <v>60</v>
      </c>
      <c r="B20" s="1">
        <v>4</v>
      </c>
      <c r="D20" t="s">
        <v>85</v>
      </c>
    </row>
    <row r="21" spans="1:4" x14ac:dyDescent="0.55000000000000004">
      <c r="A21" t="s">
        <v>61</v>
      </c>
      <c r="B21">
        <f>B19*B20</f>
        <v>10</v>
      </c>
      <c r="C21" t="s">
        <v>18</v>
      </c>
    </row>
    <row r="23" spans="1:4" x14ac:dyDescent="0.55000000000000004">
      <c r="A23" t="s">
        <v>62</v>
      </c>
      <c r="B23">
        <f>PI()/4*B19^2</f>
        <v>4.908738521234052</v>
      </c>
      <c r="C23" t="s">
        <v>35</v>
      </c>
    </row>
    <row r="25" spans="1:4" x14ac:dyDescent="0.55000000000000004">
      <c r="A25" t="s">
        <v>63</v>
      </c>
      <c r="B25" s="1">
        <v>0.15</v>
      </c>
      <c r="C25" t="s">
        <v>18</v>
      </c>
    </row>
    <row r="26" spans="1:4" x14ac:dyDescent="0.55000000000000004">
      <c r="A26" t="s">
        <v>64</v>
      </c>
      <c r="B26" s="1">
        <v>0.1</v>
      </c>
      <c r="C26" t="s">
        <v>18</v>
      </c>
    </row>
    <row r="27" spans="1:4" x14ac:dyDescent="0.55000000000000004">
      <c r="A27" t="s">
        <v>67</v>
      </c>
      <c r="B27">
        <f>(B26+B25)/B19</f>
        <v>0.1</v>
      </c>
    </row>
    <row r="28" spans="1:4" x14ac:dyDescent="0.55000000000000004">
      <c r="A28" s="8" t="s">
        <v>65</v>
      </c>
      <c r="B28">
        <f>2*ACOS(1-2*B27)</f>
        <v>1.2870022175865685</v>
      </c>
    </row>
    <row r="29" spans="1:4" x14ac:dyDescent="0.55000000000000004">
      <c r="A29" t="s">
        <v>68</v>
      </c>
      <c r="B29">
        <f>(B28-SIN(B28))/2/PI()</f>
        <v>5.2044019330913897E-2</v>
      </c>
    </row>
    <row r="30" spans="1:4" x14ac:dyDescent="0.55000000000000004">
      <c r="A30" t="s">
        <v>66</v>
      </c>
      <c r="B30">
        <f>B8*(1+B11)/B9/60*B10/B21</f>
        <v>3.6917554092395646</v>
      </c>
      <c r="C30" t="s">
        <v>35</v>
      </c>
    </row>
    <row r="31" spans="1:4" x14ac:dyDescent="0.55000000000000004">
      <c r="A31" t="s">
        <v>69</v>
      </c>
      <c r="B31">
        <f>B29*B23</f>
        <v>0.25547048248950671</v>
      </c>
      <c r="C31" t="s">
        <v>35</v>
      </c>
    </row>
    <row r="32" spans="1:4" x14ac:dyDescent="0.55000000000000004">
      <c r="A32" t="s">
        <v>70</v>
      </c>
      <c r="B32">
        <f>B30+B31</f>
        <v>3.9472258917290715</v>
      </c>
      <c r="C32" t="s">
        <v>35</v>
      </c>
    </row>
    <row r="33" spans="1:11" x14ac:dyDescent="0.55000000000000004">
      <c r="A33" t="s">
        <v>71</v>
      </c>
      <c r="B33">
        <f>B32/B23</f>
        <v>0.80412225557631511</v>
      </c>
    </row>
    <row r="34" spans="1:11" x14ac:dyDescent="0.55000000000000004">
      <c r="A34" t="s">
        <v>72</v>
      </c>
      <c r="B34" s="9">
        <v>0.7493525564916661</v>
      </c>
    </row>
    <row r="35" spans="1:11" x14ac:dyDescent="0.55000000000000004">
      <c r="A35" s="8" t="s">
        <v>65</v>
      </c>
      <c r="B35">
        <f>2*ACOS(1-2*B34)</f>
        <v>4.1858010798398713</v>
      </c>
    </row>
    <row r="36" spans="1:11" x14ac:dyDescent="0.55000000000000004">
      <c r="A36" s="8" t="s">
        <v>73</v>
      </c>
      <c r="B36">
        <f>(B35-SIN(B35))/2/PI()-B33</f>
        <v>-3.3758147202000988E-4</v>
      </c>
    </row>
    <row r="37" spans="1:11" x14ac:dyDescent="0.55000000000000004">
      <c r="A37" s="8" t="s">
        <v>74</v>
      </c>
      <c r="B37">
        <f>B34*B19</f>
        <v>1.8733813912291652</v>
      </c>
      <c r="C37" t="s">
        <v>18</v>
      </c>
    </row>
    <row r="38" spans="1:11" x14ac:dyDescent="0.55000000000000004">
      <c r="A38" s="8" t="s">
        <v>75</v>
      </c>
      <c r="B38">
        <f>B19-B37</f>
        <v>0.62661860877083475</v>
      </c>
      <c r="C38" t="s">
        <v>18</v>
      </c>
      <c r="D38">
        <f>MAX(0.2*B19,0.6)</f>
        <v>0.6</v>
      </c>
      <c r="E38" t="s">
        <v>84</v>
      </c>
    </row>
    <row r="39" spans="1:11" x14ac:dyDescent="0.55000000000000004">
      <c r="A39" s="8" t="s">
        <v>76</v>
      </c>
      <c r="B39">
        <f>B38/B17</f>
        <v>3.3565400293601733</v>
      </c>
      <c r="C39" t="s">
        <v>77</v>
      </c>
    </row>
    <row r="40" spans="1:11" x14ac:dyDescent="0.55000000000000004">
      <c r="A40" s="8" t="s">
        <v>79</v>
      </c>
      <c r="B40">
        <f>B23-B32</f>
        <v>0.96151262950498051</v>
      </c>
      <c r="C40" t="s">
        <v>35</v>
      </c>
    </row>
    <row r="41" spans="1:11" x14ac:dyDescent="0.55000000000000004">
      <c r="A41" s="8" t="s">
        <v>78</v>
      </c>
      <c r="B41">
        <f>B6*(1+B11)/B7/3600/B40</f>
        <v>0.59233401552178011</v>
      </c>
      <c r="C41" t="s">
        <v>13</v>
      </c>
    </row>
    <row r="42" spans="1:11" x14ac:dyDescent="0.55000000000000004">
      <c r="A42" s="8" t="s">
        <v>80</v>
      </c>
      <c r="B42">
        <f>B39*B41</f>
        <v>1.988192833850505</v>
      </c>
      <c r="C42" t="s">
        <v>18</v>
      </c>
    </row>
    <row r="44" spans="1:11" x14ac:dyDescent="0.55000000000000004">
      <c r="B44" t="s">
        <v>30</v>
      </c>
    </row>
    <row r="45" spans="1:11" x14ac:dyDescent="0.55000000000000004">
      <c r="A45" t="s">
        <v>31</v>
      </c>
      <c r="F45" t="s">
        <v>42</v>
      </c>
      <c r="J45" t="s">
        <v>43</v>
      </c>
    </row>
    <row r="46" spans="1:11" x14ac:dyDescent="0.55000000000000004">
      <c r="A46" t="s">
        <v>32</v>
      </c>
      <c r="B46" s="1">
        <v>14</v>
      </c>
      <c r="C46" t="s">
        <v>33</v>
      </c>
      <c r="F46" s="1">
        <v>12</v>
      </c>
      <c r="G46" t="s">
        <v>33</v>
      </c>
      <c r="J46" s="1">
        <v>16</v>
      </c>
      <c r="K46" t="s">
        <v>33</v>
      </c>
    </row>
    <row r="47" spans="1:11" x14ac:dyDescent="0.55000000000000004">
      <c r="A47" t="s">
        <v>34</v>
      </c>
      <c r="B47">
        <f>PI()/4*(B46*25.4/1000)^2</f>
        <v>9.9314665903109542E-2</v>
      </c>
      <c r="C47" t="s">
        <v>35</v>
      </c>
      <c r="F47">
        <f>PI()/4*(F46*25.4/1000)^2</f>
        <v>7.296587699003966E-2</v>
      </c>
      <c r="G47" t="s">
        <v>35</v>
      </c>
      <c r="J47">
        <f>PI()/4*(J46*25.4/1000)^2</f>
        <v>0.12971711464895941</v>
      </c>
      <c r="K47" t="s">
        <v>35</v>
      </c>
    </row>
    <row r="48" spans="1:11" x14ac:dyDescent="0.55000000000000004">
      <c r="A48" t="s">
        <v>36</v>
      </c>
      <c r="B48">
        <f>(B6+B8)/(B6/B7+B8/B9)</f>
        <v>110.19405095691113</v>
      </c>
      <c r="C48" t="s">
        <v>5</v>
      </c>
    </row>
    <row r="49" spans="1:12" x14ac:dyDescent="0.55000000000000004">
      <c r="A49" t="s">
        <v>44</v>
      </c>
      <c r="B49">
        <f>((B6+B8)*(1+B11)/B48/3600/B47)</f>
        <v>6.9737449565263496</v>
      </c>
      <c r="F49">
        <f>(B6*(1+B11)/B7/3600/F47)</f>
        <v>7.8055203377783888</v>
      </c>
      <c r="J49">
        <f>B8*(1+B11)/B9/3600/J47</f>
        <v>0.9486682923401426</v>
      </c>
      <c r="K49" t="s">
        <v>13</v>
      </c>
      <c r="L49" t="s">
        <v>86</v>
      </c>
    </row>
    <row r="50" spans="1:12" x14ac:dyDescent="0.55000000000000004">
      <c r="A50" t="s">
        <v>37</v>
      </c>
      <c r="B50">
        <f>B48*((B6+B8)*(1+B11)/B48/3600/B47)^2</f>
        <v>5359.0803622793683</v>
      </c>
      <c r="C50" t="s">
        <v>39</v>
      </c>
      <c r="D50" t="s">
        <v>40</v>
      </c>
    </row>
    <row r="51" spans="1:12" x14ac:dyDescent="0.55000000000000004">
      <c r="A51" t="s">
        <v>38</v>
      </c>
      <c r="B51">
        <f>B7*(B6*(1+B11)/B7/3600/B47)^2</f>
        <v>1536.8808648686302</v>
      </c>
      <c r="C51" t="s">
        <v>39</v>
      </c>
      <c r="D51" t="s">
        <v>41</v>
      </c>
      <c r="F51">
        <f>B7*(B6*(1+B11)/B7/3600/F47)^2</f>
        <v>2847.2615405475162</v>
      </c>
      <c r="G51" t="s">
        <v>39</v>
      </c>
      <c r="H51" t="s">
        <v>41</v>
      </c>
    </row>
    <row r="54" spans="1:12" x14ac:dyDescent="0.55000000000000004">
      <c r="A54" t="s">
        <v>82</v>
      </c>
      <c r="B54">
        <f>B42+1.5*(B46+F46)*25.4/1000</f>
        <v>2.978792833850505</v>
      </c>
      <c r="C54" t="s">
        <v>18</v>
      </c>
      <c r="D54" t="s">
        <v>83</v>
      </c>
    </row>
    <row r="56" spans="1:12" x14ac:dyDescent="0.55000000000000004">
      <c r="B56" t="str">
        <f>IF(B54&gt;B21,"increase vessel D or L","selected L and D is correct")</f>
        <v>selected L and D is correct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8"/>
  <sheetViews>
    <sheetView tabSelected="1" topLeftCell="A19" zoomScale="145" zoomScaleNormal="145" workbookViewId="0">
      <selection activeCell="D36" sqref="D36"/>
    </sheetView>
  </sheetViews>
  <sheetFormatPr defaultRowHeight="14.4" x14ac:dyDescent="0.55000000000000004"/>
  <cols>
    <col min="1" max="1" width="12.734375" customWidth="1"/>
    <col min="2" max="2" width="9.15625" bestFit="1" customWidth="1"/>
  </cols>
  <sheetData>
    <row r="3" spans="1:5" x14ac:dyDescent="0.55000000000000004">
      <c r="A3" t="s">
        <v>0</v>
      </c>
      <c r="B3" s="1">
        <v>20</v>
      </c>
      <c r="C3" t="s">
        <v>1</v>
      </c>
      <c r="D3">
        <f>B3*14.5</f>
        <v>290</v>
      </c>
      <c r="E3" t="s">
        <v>55</v>
      </c>
    </row>
    <row r="4" spans="1:5" x14ac:dyDescent="0.55000000000000004">
      <c r="A4" t="s">
        <v>2</v>
      </c>
      <c r="B4" s="1">
        <v>18</v>
      </c>
      <c r="C4" t="s">
        <v>3</v>
      </c>
    </row>
    <row r="6" spans="1:5" x14ac:dyDescent="0.55000000000000004">
      <c r="A6" t="s">
        <v>6</v>
      </c>
      <c r="B6" s="7">
        <v>17950</v>
      </c>
      <c r="C6" t="s">
        <v>4</v>
      </c>
    </row>
    <row r="7" spans="1:5" x14ac:dyDescent="0.55000000000000004">
      <c r="A7" t="s">
        <v>7</v>
      </c>
      <c r="B7" s="6">
        <v>18</v>
      </c>
      <c r="C7" t="s">
        <v>5</v>
      </c>
    </row>
    <row r="8" spans="1:5" x14ac:dyDescent="0.55000000000000004">
      <c r="A8" t="s">
        <v>8</v>
      </c>
      <c r="B8" s="7">
        <v>121650</v>
      </c>
      <c r="C8" t="s">
        <v>4</v>
      </c>
    </row>
    <row r="9" spans="1:5" x14ac:dyDescent="0.55000000000000004">
      <c r="A9" t="s">
        <v>9</v>
      </c>
      <c r="B9" s="6">
        <v>765.8</v>
      </c>
      <c r="C9" t="s">
        <v>5</v>
      </c>
    </row>
    <row r="10" spans="1:5" x14ac:dyDescent="0.55000000000000004">
      <c r="A10" t="s">
        <v>27</v>
      </c>
      <c r="B10" s="1">
        <v>5</v>
      </c>
      <c r="C10" t="s">
        <v>28</v>
      </c>
      <c r="D10" t="s">
        <v>54</v>
      </c>
    </row>
    <row r="11" spans="1:5" x14ac:dyDescent="0.55000000000000004">
      <c r="A11" t="s">
        <v>81</v>
      </c>
      <c r="B11" s="10">
        <v>0</v>
      </c>
    </row>
    <row r="12" spans="1:5" x14ac:dyDescent="0.55000000000000004">
      <c r="A12" t="s">
        <v>88</v>
      </c>
      <c r="B12" s="1">
        <v>3</v>
      </c>
    </row>
    <row r="14" spans="1:5" x14ac:dyDescent="0.55000000000000004">
      <c r="B14" t="s">
        <v>10</v>
      </c>
    </row>
    <row r="15" spans="1:5" x14ac:dyDescent="0.55000000000000004">
      <c r="A15" t="s">
        <v>87</v>
      </c>
      <c r="B15" s="2">
        <f>B9/B7-1</f>
        <v>41.544444444444444</v>
      </c>
    </row>
    <row r="16" spans="1:5" x14ac:dyDescent="0.55000000000000004">
      <c r="A16" t="s">
        <v>12</v>
      </c>
      <c r="B16" s="2">
        <v>0.22</v>
      </c>
    </row>
    <row r="17" spans="1:5" x14ac:dyDescent="0.55000000000000004">
      <c r="A17" t="s">
        <v>14</v>
      </c>
      <c r="B17">
        <f>B16*0.85*B12</f>
        <v>0.56099999999999994</v>
      </c>
      <c r="C17" t="s">
        <v>13</v>
      </c>
    </row>
    <row r="18" spans="1:5" x14ac:dyDescent="0.55000000000000004">
      <c r="A18" t="s">
        <v>79</v>
      </c>
      <c r="B18">
        <f>B6/B7/3600/B17</f>
        <v>0.49377214409894155</v>
      </c>
      <c r="C18" t="s">
        <v>35</v>
      </c>
    </row>
    <row r="20" spans="1:5" x14ac:dyDescent="0.55000000000000004">
      <c r="A20" t="s">
        <v>72</v>
      </c>
      <c r="B20" s="1">
        <v>0.7</v>
      </c>
      <c r="C20" s="1">
        <v>0.7</v>
      </c>
    </row>
    <row r="21" spans="1:5" x14ac:dyDescent="0.55000000000000004">
      <c r="A21" s="11" t="s">
        <v>65</v>
      </c>
      <c r="B21" s="4">
        <f>2*ACOS(1-2*B20)</f>
        <v>3.9646263457247688</v>
      </c>
      <c r="C21" s="4">
        <f>2*ACOS(1-2*C20)</f>
        <v>3.9646263457247688</v>
      </c>
      <c r="E21" s="4"/>
    </row>
    <row r="22" spans="1:5" x14ac:dyDescent="0.55000000000000004">
      <c r="A22" s="11" t="s">
        <v>89</v>
      </c>
      <c r="B22" s="4">
        <f>(B21-SIN(B21))/2/PI()</f>
        <v>0.7476842122656544</v>
      </c>
      <c r="C22" s="4">
        <f>(C21-SIN(C21))/2/PI()</f>
        <v>0.7476842122656544</v>
      </c>
      <c r="E22" s="4"/>
    </row>
    <row r="23" spans="1:5" x14ac:dyDescent="0.55000000000000004">
      <c r="A23" s="11" t="s">
        <v>92</v>
      </c>
      <c r="B23" s="13">
        <f>B22*B25</f>
        <v>1.4631888076224657</v>
      </c>
      <c r="C23" s="13">
        <f>C22*C25</f>
        <v>2.3489192284588514</v>
      </c>
      <c r="E23" s="4"/>
    </row>
    <row r="24" spans="1:5" x14ac:dyDescent="0.55000000000000004">
      <c r="A24" s="11" t="s">
        <v>90</v>
      </c>
      <c r="B24" s="4">
        <f>1-B22</f>
        <v>0.2523157877343456</v>
      </c>
      <c r="C24" s="4">
        <f>1-C22</f>
        <v>0.2523157877343456</v>
      </c>
      <c r="E24" s="4"/>
    </row>
    <row r="25" spans="1:5" x14ac:dyDescent="0.55000000000000004">
      <c r="A25" s="11" t="s">
        <v>62</v>
      </c>
      <c r="B25" s="4">
        <f>B18/B24</f>
        <v>1.9569609517214073</v>
      </c>
      <c r="C25" s="4">
        <f>PI()/4*C26^2</f>
        <v>3.1415926535897931</v>
      </c>
      <c r="E25" s="4" t="s">
        <v>35</v>
      </c>
    </row>
    <row r="26" spans="1:5" x14ac:dyDescent="0.55000000000000004">
      <c r="A26" s="11" t="s">
        <v>17</v>
      </c>
      <c r="B26" s="4">
        <f>(4*B25/PI())^0.5</f>
        <v>1.5785056449801678</v>
      </c>
      <c r="C26" s="9">
        <v>2</v>
      </c>
      <c r="E26" s="4" t="s">
        <v>18</v>
      </c>
    </row>
    <row r="27" spans="1:5" x14ac:dyDescent="0.55000000000000004">
      <c r="A27" s="11" t="s">
        <v>61</v>
      </c>
      <c r="B27" s="4">
        <f>B26*B12</f>
        <v>4.7355169349405033</v>
      </c>
      <c r="C27" s="4">
        <f>C26*B12</f>
        <v>6</v>
      </c>
      <c r="E27" s="4"/>
    </row>
    <row r="28" spans="1:5" x14ac:dyDescent="0.55000000000000004">
      <c r="A28" t="s">
        <v>63</v>
      </c>
      <c r="B28" s="1">
        <v>0.15</v>
      </c>
      <c r="C28" s="1">
        <v>0.15</v>
      </c>
      <c r="E28" t="s">
        <v>18</v>
      </c>
    </row>
    <row r="29" spans="1:5" x14ac:dyDescent="0.55000000000000004">
      <c r="A29" t="s">
        <v>64</v>
      </c>
      <c r="B29" s="1">
        <v>0.1</v>
      </c>
      <c r="C29" s="1">
        <v>0.1</v>
      </c>
      <c r="E29" t="s">
        <v>18</v>
      </c>
    </row>
    <row r="30" spans="1:5" x14ac:dyDescent="0.55000000000000004">
      <c r="A30" t="s">
        <v>67</v>
      </c>
      <c r="B30">
        <f>(B29+B28)/B21</f>
        <v>6.3057644831923693E-2</v>
      </c>
      <c r="C30">
        <f>(C29+C28)/C21</f>
        <v>6.3057644831923693E-2</v>
      </c>
    </row>
    <row r="31" spans="1:5" x14ac:dyDescent="0.55000000000000004">
      <c r="A31" s="8" t="s">
        <v>65</v>
      </c>
      <c r="B31">
        <f>2*ACOS(1-2*B30)</f>
        <v>1.0153189370243565</v>
      </c>
      <c r="C31">
        <f>2*ACOS(1-2*C30)</f>
        <v>1.0153189370243565</v>
      </c>
    </row>
    <row r="32" spans="1:5" x14ac:dyDescent="0.55000000000000004">
      <c r="A32" t="s">
        <v>68</v>
      </c>
      <c r="B32">
        <f>(B31-SIN(B31))/2/PI()</f>
        <v>2.6367223443722283E-2</v>
      </c>
      <c r="C32">
        <f>(C31-SIN(C31))/2/PI()</f>
        <v>2.6367223443722283E-2</v>
      </c>
    </row>
    <row r="33" spans="1:12" x14ac:dyDescent="0.55000000000000004">
      <c r="A33" t="s">
        <v>66</v>
      </c>
      <c r="B33">
        <f>B8/B9/60*B10/B27</f>
        <v>2.7954267142750151</v>
      </c>
      <c r="C33">
        <f>B8/B9/60*B10/C27</f>
        <v>2.2062984243057371</v>
      </c>
      <c r="E33" t="s">
        <v>35</v>
      </c>
    </row>
    <row r="34" spans="1:12" x14ac:dyDescent="0.55000000000000004">
      <c r="A34" s="11" t="s">
        <v>91</v>
      </c>
      <c r="B34" s="12">
        <f>B33+B32*B25</f>
        <v>2.847026340959693</v>
      </c>
      <c r="C34" s="12">
        <f>C33+C32*C25</f>
        <v>2.2891334997720953</v>
      </c>
      <c r="E34" t="s">
        <v>35</v>
      </c>
    </row>
    <row r="35" spans="1:12" x14ac:dyDescent="0.55000000000000004">
      <c r="A35" s="11" t="s">
        <v>93</v>
      </c>
      <c r="B35">
        <f>B34-B23</f>
        <v>1.3838375333372273</v>
      </c>
      <c r="C35">
        <f>C34-C23</f>
        <v>-5.9785728686756023E-2</v>
      </c>
    </row>
    <row r="36" spans="1:12" x14ac:dyDescent="0.55000000000000004">
      <c r="B36" t="str">
        <f>IF(B35&gt;0,"increase L or D","sizing is correct")</f>
        <v>increase L or D</v>
      </c>
      <c r="C36" t="str">
        <f>IF(C35&gt;0,"increase L or D","sizing is correct")</f>
        <v>sizing is correct</v>
      </c>
    </row>
    <row r="38" spans="1:12" x14ac:dyDescent="0.55000000000000004">
      <c r="B38" t="s">
        <v>30</v>
      </c>
    </row>
    <row r="39" spans="1:12" x14ac:dyDescent="0.55000000000000004">
      <c r="A39" t="s">
        <v>31</v>
      </c>
      <c r="F39" t="s">
        <v>42</v>
      </c>
      <c r="J39" t="s">
        <v>43</v>
      </c>
    </row>
    <row r="40" spans="1:12" x14ac:dyDescent="0.55000000000000004">
      <c r="A40" t="s">
        <v>32</v>
      </c>
      <c r="B40" s="1">
        <v>10</v>
      </c>
      <c r="C40" t="s">
        <v>33</v>
      </c>
      <c r="F40" s="1">
        <v>8</v>
      </c>
      <c r="G40" t="s">
        <v>33</v>
      </c>
      <c r="J40" s="1">
        <v>10</v>
      </c>
      <c r="K40" t="s">
        <v>33</v>
      </c>
    </row>
    <row r="41" spans="1:12" x14ac:dyDescent="0.55000000000000004">
      <c r="A41" t="s">
        <v>34</v>
      </c>
      <c r="B41">
        <f>PI()/4*(B40*25.4/1000)^2</f>
        <v>5.0670747909749778E-2</v>
      </c>
      <c r="C41" t="s">
        <v>35</v>
      </c>
      <c r="F41">
        <f>PI()/4*(F40*25.4/1000)^2</f>
        <v>3.2429278662239852E-2</v>
      </c>
      <c r="G41" t="s">
        <v>35</v>
      </c>
      <c r="J41">
        <f>PI()/4*(J40*25.4/1000)^2</f>
        <v>5.0670747909749778E-2</v>
      </c>
      <c r="K41" t="s">
        <v>35</v>
      </c>
    </row>
    <row r="42" spans="1:12" x14ac:dyDescent="0.55000000000000004">
      <c r="A42" t="s">
        <v>36</v>
      </c>
      <c r="B42">
        <f>(B6+B8)/(B6/B7+B8/B9)</f>
        <v>120.75333729506063</v>
      </c>
      <c r="C42" t="s">
        <v>5</v>
      </c>
    </row>
    <row r="43" spans="1:12" x14ac:dyDescent="0.55000000000000004">
      <c r="A43" t="s">
        <v>44</v>
      </c>
      <c r="B43">
        <f>((B6+B8)*(1+B11)/B42/3600/B41)</f>
        <v>6.3376238672772871</v>
      </c>
      <c r="F43">
        <f>(B6*(1+B11)/B7/3600/F41)</f>
        <v>8.5418542831187878</v>
      </c>
      <c r="J43">
        <f>B8*(1+B11)/B9/3600/J41</f>
        <v>0.87083712608126462</v>
      </c>
      <c r="K43" t="s">
        <v>13</v>
      </c>
      <c r="L43" t="s">
        <v>86</v>
      </c>
    </row>
    <row r="44" spans="1:12" x14ac:dyDescent="0.55000000000000004">
      <c r="A44" t="s">
        <v>37</v>
      </c>
      <c r="B44">
        <f>B42*((B6+B8)*(1+B11)/B42/3600/B41)^2</f>
        <v>4850.115305227846</v>
      </c>
      <c r="C44" t="s">
        <v>39</v>
      </c>
      <c r="D44" t="s">
        <v>40</v>
      </c>
    </row>
    <row r="45" spans="1:12" x14ac:dyDescent="0.55000000000000004">
      <c r="A45" t="s">
        <v>38</v>
      </c>
      <c r="B45">
        <f>B7*(B6*(1+B11)/B7/3600/B41)^2</f>
        <v>537.94363092689935</v>
      </c>
      <c r="C45" t="s">
        <v>39</v>
      </c>
      <c r="D45" t="s">
        <v>41</v>
      </c>
      <c r="F45">
        <f>B7*(B6*(1+B11)/B7/3600/F41)^2</f>
        <v>1313.3389426926262</v>
      </c>
      <c r="G45" t="s">
        <v>39</v>
      </c>
      <c r="H45" t="s">
        <v>41</v>
      </c>
    </row>
    <row r="48" spans="1:12" x14ac:dyDescent="0.55000000000000004">
      <c r="A48" t="s">
        <v>82</v>
      </c>
      <c r="B48">
        <f>C27+1.5*(B40+F40)*25.4/1000</f>
        <v>6.6858000000000004</v>
      </c>
      <c r="C48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V-Total</vt:lpstr>
      <vt:lpstr>V-York</vt:lpstr>
      <vt:lpstr>V-SP9,10</vt:lpstr>
      <vt:lpstr>Horizontal-Conv.</vt:lpstr>
      <vt:lpstr>Horizontal-Total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SAMSYSTEM</dc:creator>
  <cp:lastModifiedBy>SAMSYSTEM</cp:lastModifiedBy>
  <dcterms:created xsi:type="dcterms:W3CDTF">2022-01-10T15:03:51Z</dcterms:created>
  <dcterms:modified xsi:type="dcterms:W3CDTF">2022-01-10T17:19:32Z</dcterms:modified>
</cp:coreProperties>
</file>