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Training Class\Equipment\"/>
    </mc:Choice>
  </mc:AlternateContent>
  <bookViews>
    <workbookView xWindow="0" yWindow="0" windowWidth="23028" windowHeight="9636" activeTab="7"/>
  </bookViews>
  <sheets>
    <sheet name="V-Total" sheetId="1" r:id="rId1"/>
    <sheet name="V-York" sheetId="2" r:id="rId2"/>
    <sheet name="V-SP9,10" sheetId="3" r:id="rId3"/>
    <sheet name="Horizontal-Conv." sheetId="4" r:id="rId4"/>
    <sheet name="Horizontal-Total" sheetId="5" r:id="rId5"/>
    <sheet name="3 Phase-Total" sheetId="6" r:id="rId6"/>
    <sheet name="Column" sheetId="7" r:id="rId7"/>
    <sheet name="DeC2 Optimize Trays" sheetId="9" r:id="rId8"/>
    <sheet name="Tray Efficiency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0" l="1"/>
  <c r="O10" i="10" s="1"/>
  <c r="O11" i="10" s="1"/>
  <c r="P11" i="10" s="1"/>
  <c r="Q10" i="10" l="1"/>
  <c r="P10" i="10"/>
  <c r="P13" i="10" s="1"/>
  <c r="F6" i="9"/>
  <c r="G6" i="9" s="1"/>
  <c r="F7" i="9"/>
  <c r="G7" i="9" s="1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F15" i="9"/>
  <c r="G15" i="9" s="1"/>
  <c r="F5" i="9"/>
  <c r="G5" i="9" s="1"/>
  <c r="D5" i="7"/>
  <c r="D6" i="7"/>
  <c r="D7" i="7"/>
  <c r="D8" i="7"/>
  <c r="D9" i="7"/>
  <c r="D10" i="7"/>
  <c r="E10" i="7" s="1"/>
  <c r="F10" i="7" s="1"/>
  <c r="D4" i="7"/>
  <c r="X4" i="7"/>
  <c r="Y4" i="7" s="1"/>
  <c r="S5" i="7"/>
  <c r="L5" i="7"/>
  <c r="P15" i="10" l="1"/>
  <c r="P17" i="10" s="1"/>
  <c r="P19" i="10" s="1"/>
  <c r="E5" i="7"/>
  <c r="F5" i="7" s="1"/>
  <c r="E8" i="7"/>
  <c r="F8" i="7" s="1"/>
  <c r="E7" i="7"/>
  <c r="F7" i="7" s="1"/>
  <c r="V4" i="7"/>
  <c r="E6" i="7"/>
  <c r="F6" i="7" s="1"/>
  <c r="E4" i="7"/>
  <c r="F4" i="7" s="1"/>
  <c r="E9" i="7"/>
  <c r="F9" i="7" s="1"/>
  <c r="F12" i="7" l="1"/>
  <c r="C5" i="7"/>
  <c r="J5" i="7" s="1"/>
  <c r="C6" i="7"/>
  <c r="Q6" i="7" s="1"/>
  <c r="C7" i="7"/>
  <c r="Q7" i="7" s="1"/>
  <c r="C8" i="7"/>
  <c r="Q8" i="7" s="1"/>
  <c r="C9" i="7"/>
  <c r="Q9" i="7" s="1"/>
  <c r="C10" i="7"/>
  <c r="Q10" i="7" s="1"/>
  <c r="C4" i="7"/>
  <c r="J4" i="7" s="1"/>
  <c r="B12" i="7"/>
  <c r="Q5" i="7" l="1"/>
  <c r="Q4" i="7"/>
  <c r="D105" i="6"/>
  <c r="C105" i="6"/>
  <c r="D101" i="6"/>
  <c r="D102" i="6" s="1"/>
  <c r="D103" i="6" s="1"/>
  <c r="C101" i="6"/>
  <c r="C102" i="6" s="1"/>
  <c r="C103" i="6" s="1"/>
  <c r="D97" i="6"/>
  <c r="C97" i="6"/>
  <c r="D82" i="6"/>
  <c r="C82" i="6"/>
  <c r="D77" i="6"/>
  <c r="D78" i="6" s="1"/>
  <c r="D79" i="6" s="1"/>
  <c r="C77" i="6"/>
  <c r="C78" i="6" s="1"/>
  <c r="C79" i="6" s="1"/>
  <c r="D55" i="6"/>
  <c r="C55" i="6"/>
  <c r="D54" i="6"/>
  <c r="D66" i="6" s="1"/>
  <c r="D73" i="6" s="1"/>
  <c r="D74" i="6" s="1"/>
  <c r="D75" i="6" s="1"/>
  <c r="C54" i="6"/>
  <c r="C66" i="6" s="1"/>
  <c r="C73" i="6" s="1"/>
  <c r="C74" i="6" s="1"/>
  <c r="C75" i="6" s="1"/>
  <c r="B52" i="6"/>
  <c r="B51" i="6"/>
  <c r="D49" i="6"/>
  <c r="D44" i="6"/>
  <c r="D45" i="6" s="1"/>
  <c r="D46" i="6" s="1"/>
  <c r="D41" i="6"/>
  <c r="D42" i="6" s="1"/>
  <c r="D39" i="6"/>
  <c r="D84" i="6" s="1"/>
  <c r="D85" i="6" s="1"/>
  <c r="D86" i="6" s="1"/>
  <c r="D87" i="6" s="1"/>
  <c r="D38" i="6"/>
  <c r="D34" i="6"/>
  <c r="D35" i="6" s="1"/>
  <c r="C49" i="6"/>
  <c r="B49" i="6"/>
  <c r="C44" i="6"/>
  <c r="C45" i="6" s="1"/>
  <c r="C46" i="6" s="1"/>
  <c r="C41" i="6"/>
  <c r="C42" i="6" s="1"/>
  <c r="C39" i="6"/>
  <c r="C84" i="6" s="1"/>
  <c r="C85" i="6" s="1"/>
  <c r="C86" i="6" s="1"/>
  <c r="C87" i="6" s="1"/>
  <c r="C38" i="6"/>
  <c r="C34" i="6"/>
  <c r="C35" i="6" s="1"/>
  <c r="B34" i="6"/>
  <c r="B35" i="6" s="1"/>
  <c r="B44" i="6"/>
  <c r="B45" i="6" s="1"/>
  <c r="B46" i="6" s="1"/>
  <c r="B38" i="6"/>
  <c r="B39" i="6"/>
  <c r="B28" i="6"/>
  <c r="B29" i="6" s="1"/>
  <c r="B30" i="6" s="1"/>
  <c r="B24" i="6"/>
  <c r="B26" i="6" s="1"/>
  <c r="B20" i="6"/>
  <c r="B21" i="6" s="1"/>
  <c r="E15" i="6"/>
  <c r="E16" i="6" s="1"/>
  <c r="E17" i="6" s="1"/>
  <c r="K15" i="6"/>
  <c r="K16" i="6" s="1"/>
  <c r="K17" i="6" s="1"/>
  <c r="H15" i="6"/>
  <c r="H16" i="6" s="1"/>
  <c r="B15" i="6"/>
  <c r="B16" i="6" s="1"/>
  <c r="B17" i="6" s="1"/>
  <c r="Q12" i="7" l="1"/>
  <c r="P5" i="7" s="1"/>
  <c r="C94" i="6"/>
  <c r="C89" i="6"/>
  <c r="C90" i="6" s="1"/>
  <c r="C91" i="6" s="1"/>
  <c r="C92" i="6" s="1"/>
  <c r="D94" i="6"/>
  <c r="C81" i="6"/>
  <c r="D89" i="6"/>
  <c r="D90" i="6" s="1"/>
  <c r="D91" i="6" s="1"/>
  <c r="D92" i="6" s="1"/>
  <c r="D81" i="6"/>
  <c r="B43" i="6"/>
  <c r="C43" i="6"/>
  <c r="C58" i="6" s="1"/>
  <c r="C59" i="6" s="1"/>
  <c r="C60" i="6" s="1"/>
  <c r="B47" i="6"/>
  <c r="D43" i="6"/>
  <c r="D58" i="6" s="1"/>
  <c r="D59" i="6" s="1"/>
  <c r="D60" i="6" s="1"/>
  <c r="D47" i="6"/>
  <c r="D70" i="6" s="1"/>
  <c r="D71" i="6" s="1"/>
  <c r="C47" i="6"/>
  <c r="B31" i="6"/>
  <c r="B32" i="6" s="1"/>
  <c r="H17" i="6"/>
  <c r="P8" i="7" l="1"/>
  <c r="P9" i="7"/>
  <c r="P10" i="7"/>
  <c r="P6" i="7"/>
  <c r="P7" i="7"/>
  <c r="P4" i="7"/>
  <c r="D95" i="6"/>
  <c r="D96" i="6" s="1"/>
  <c r="D98" i="6" s="1"/>
  <c r="D104" i="6"/>
  <c r="D106" i="6" s="1"/>
  <c r="C95" i="6"/>
  <c r="C96" i="6" s="1"/>
  <c r="C98" i="6" s="1"/>
  <c r="C104" i="6"/>
  <c r="C106" i="6" s="1"/>
  <c r="C62" i="6"/>
  <c r="C63" i="6" s="1"/>
  <c r="C64" i="6" s="1"/>
  <c r="C70" i="6"/>
  <c r="C71" i="6" s="1"/>
  <c r="B48" i="6"/>
  <c r="D48" i="6"/>
  <c r="D62" i="6"/>
  <c r="D63" i="6" s="1"/>
  <c r="D64" i="6" s="1"/>
  <c r="C48" i="6"/>
  <c r="C25" i="5" l="1"/>
  <c r="C27" i="5"/>
  <c r="C33" i="5" s="1"/>
  <c r="C21" i="5"/>
  <c r="C22" i="5" s="1"/>
  <c r="B21" i="5"/>
  <c r="B22" i="5" s="1"/>
  <c r="B17" i="5"/>
  <c r="B18" i="5" s="1"/>
  <c r="B15" i="5"/>
  <c r="B42" i="5"/>
  <c r="J41" i="5"/>
  <c r="J43" i="5" s="1"/>
  <c r="F41" i="5"/>
  <c r="F45" i="5" s="1"/>
  <c r="B41" i="5"/>
  <c r="B45" i="5" s="1"/>
  <c r="D3" i="5"/>
  <c r="D38" i="4"/>
  <c r="B37" i="4"/>
  <c r="B38" i="4" s="1"/>
  <c r="B35" i="4"/>
  <c r="B27" i="4"/>
  <c r="B28" i="4" s="1"/>
  <c r="B29" i="4" s="1"/>
  <c r="B23" i="4"/>
  <c r="B21" i="4"/>
  <c r="B30" i="4" s="1"/>
  <c r="D3" i="4"/>
  <c r="B15" i="4" s="1"/>
  <c r="B48" i="4"/>
  <c r="J47" i="4"/>
  <c r="J49" i="4" s="1"/>
  <c r="F47" i="4"/>
  <c r="F49" i="4" s="1"/>
  <c r="B47" i="4"/>
  <c r="B51" i="4" s="1"/>
  <c r="B14" i="3"/>
  <c r="B16" i="3"/>
  <c r="B16" i="2"/>
  <c r="B14" i="2"/>
  <c r="B15" i="2" s="1"/>
  <c r="B34" i="1"/>
  <c r="J23" i="1"/>
  <c r="J25" i="1" s="1"/>
  <c r="F23" i="1"/>
  <c r="F27" i="1" s="1"/>
  <c r="B24" i="1"/>
  <c r="B23" i="1"/>
  <c r="B16" i="1"/>
  <c r="B15" i="1"/>
  <c r="B13" i="1"/>
  <c r="B48" i="5" l="1"/>
  <c r="B30" i="5"/>
  <c r="B31" i="5" s="1"/>
  <c r="B32" i="5" s="1"/>
  <c r="B24" i="5"/>
  <c r="B25" i="5" s="1"/>
  <c r="C24" i="5"/>
  <c r="C30" i="5"/>
  <c r="C31" i="5" s="1"/>
  <c r="C32" i="5" s="1"/>
  <c r="B43" i="5"/>
  <c r="F43" i="5"/>
  <c r="B44" i="5"/>
  <c r="B31" i="4"/>
  <c r="B32" i="4" s="1"/>
  <c r="B33" i="4" s="1"/>
  <c r="B36" i="4" s="1"/>
  <c r="B49" i="4"/>
  <c r="F51" i="4"/>
  <c r="B50" i="4"/>
  <c r="B14" i="4"/>
  <c r="B16" i="4" s="1"/>
  <c r="B17" i="4" s="1"/>
  <c r="B39" i="4" s="1"/>
  <c r="F25" i="1"/>
  <c r="B26" i="1"/>
  <c r="B17" i="1"/>
  <c r="B18" i="1" s="1"/>
  <c r="B33" i="1" s="1"/>
  <c r="B25" i="1"/>
  <c r="B15" i="3"/>
  <c r="B17" i="3" s="1"/>
  <c r="B18" i="3" s="1"/>
  <c r="B17" i="2"/>
  <c r="B18" i="2" s="1"/>
  <c r="B27" i="1"/>
  <c r="B26" i="5" l="1"/>
  <c r="B27" i="5" s="1"/>
  <c r="B33" i="5" s="1"/>
  <c r="B34" i="5" s="1"/>
  <c r="B23" i="5"/>
  <c r="C34" i="5"/>
  <c r="C23" i="5"/>
  <c r="B40" i="4"/>
  <c r="B32" i="1"/>
  <c r="B37" i="1"/>
  <c r="B31" i="1"/>
  <c r="B35" i="1"/>
  <c r="C35" i="5" l="1"/>
  <c r="C36" i="5" s="1"/>
  <c r="B35" i="5"/>
  <c r="B36" i="5" s="1"/>
  <c r="B41" i="4"/>
  <c r="B42" i="4" s="1"/>
  <c r="B54" i="4" s="1"/>
  <c r="B56" i="4" s="1"/>
  <c r="B39" i="1"/>
  <c r="B40" i="1" s="1"/>
  <c r="J12" i="7"/>
  <c r="P12" i="7" l="1"/>
  <c r="I9" i="7"/>
  <c r="M9" i="7" s="1"/>
  <c r="I10" i="7"/>
  <c r="M10" i="7" s="1"/>
  <c r="I4" i="7"/>
  <c r="M4" i="7" s="1"/>
  <c r="I5" i="7"/>
  <c r="M5" i="7" s="1"/>
  <c r="I6" i="7"/>
  <c r="M6" i="7" s="1"/>
  <c r="I7" i="7"/>
  <c r="M7" i="7" s="1"/>
  <c r="I8" i="7"/>
  <c r="M8" i="7" s="1"/>
  <c r="M12" i="7" l="1"/>
  <c r="M15" i="7" s="1"/>
  <c r="Z4" i="7"/>
  <c r="S15" i="7" s="1"/>
  <c r="T15" i="7" s="1"/>
  <c r="U4" i="7"/>
  <c r="W4" i="7" s="1"/>
  <c r="I12" i="7"/>
  <c r="O15" i="7" l="1"/>
  <c r="Q15" i="7" s="1"/>
  <c r="P15" i="7"/>
</calcChain>
</file>

<file path=xl/sharedStrings.xml><?xml version="1.0" encoding="utf-8"?>
<sst xmlns="http://schemas.openxmlformats.org/spreadsheetml/2006/main" count="543" uniqueCount="230">
  <si>
    <t>OP</t>
  </si>
  <si>
    <t>bara</t>
  </si>
  <si>
    <t>OT</t>
  </si>
  <si>
    <t>°C</t>
  </si>
  <si>
    <t>kg/h</t>
  </si>
  <si>
    <t>kg/m3</t>
  </si>
  <si>
    <t>m_g</t>
  </si>
  <si>
    <t>rho_g</t>
  </si>
  <si>
    <t>m_l</t>
  </si>
  <si>
    <t>rho_l</t>
  </si>
  <si>
    <t>with demister</t>
  </si>
  <si>
    <t>rho_l/rho_g-1</t>
  </si>
  <si>
    <t>vs</t>
  </si>
  <si>
    <t>m/s</t>
  </si>
  <si>
    <t>vg</t>
  </si>
  <si>
    <t>Qg</t>
  </si>
  <si>
    <t>m3/s</t>
  </si>
  <si>
    <t>D</t>
  </si>
  <si>
    <t>m</t>
  </si>
  <si>
    <t>ID</t>
  </si>
  <si>
    <t>Selected ID</t>
  </si>
  <si>
    <t>Calculation of vessel length</t>
  </si>
  <si>
    <t>h8</t>
  </si>
  <si>
    <t>mm</t>
  </si>
  <si>
    <t>assume botton connected LC</t>
  </si>
  <si>
    <t>h7</t>
  </si>
  <si>
    <t>h6</t>
  </si>
  <si>
    <t>holdup time</t>
  </si>
  <si>
    <t>min</t>
  </si>
  <si>
    <t>h5</t>
  </si>
  <si>
    <t>Nozzle Sizing</t>
  </si>
  <si>
    <t>inlet</t>
  </si>
  <si>
    <t>id</t>
  </si>
  <si>
    <t>in</t>
  </si>
  <si>
    <t>nozzle area</t>
  </si>
  <si>
    <t>m2</t>
  </si>
  <si>
    <t>rho_m</t>
  </si>
  <si>
    <t>rho_mxV^2</t>
  </si>
  <si>
    <t>rho_gxV^2</t>
  </si>
  <si>
    <t>kg/m.s2</t>
  </si>
  <si>
    <t>&lt;=6000</t>
  </si>
  <si>
    <t>&lt;=3750</t>
  </si>
  <si>
    <t>vapor</t>
  </si>
  <si>
    <t>liquid</t>
  </si>
  <si>
    <t>Vm</t>
  </si>
  <si>
    <t>h4</t>
  </si>
  <si>
    <t>h3</t>
  </si>
  <si>
    <t>h2</t>
  </si>
  <si>
    <t>h1</t>
  </si>
  <si>
    <t>total L</t>
  </si>
  <si>
    <t>check L/d</t>
  </si>
  <si>
    <t>2&lt;L/D&lt;4</t>
  </si>
  <si>
    <t>k</t>
  </si>
  <si>
    <t>vc</t>
  </si>
  <si>
    <t>LLL-HLL</t>
  </si>
  <si>
    <t>psia</t>
  </si>
  <si>
    <t>York Method</t>
  </si>
  <si>
    <t>GPSA</t>
  </si>
  <si>
    <t>vt</t>
  </si>
  <si>
    <t>assume D</t>
  </si>
  <si>
    <t>select L/D</t>
  </si>
  <si>
    <t>L</t>
  </si>
  <si>
    <t>At</t>
  </si>
  <si>
    <t>BTM-LLLL</t>
  </si>
  <si>
    <t>LLLL-LLL</t>
  </si>
  <si>
    <t>θ</t>
  </si>
  <si>
    <t>A(LLL-HLL)</t>
  </si>
  <si>
    <t>LLL/D</t>
  </si>
  <si>
    <t>A(LLL)/At</t>
  </si>
  <si>
    <t>A(LLL)</t>
  </si>
  <si>
    <t>A(HLL)</t>
  </si>
  <si>
    <t>A(HLL)/At</t>
  </si>
  <si>
    <t>HLL/D</t>
  </si>
  <si>
    <t>error</t>
  </si>
  <si>
    <t>HLL</t>
  </si>
  <si>
    <t>Hv</t>
  </si>
  <si>
    <t>phi</t>
  </si>
  <si>
    <t>s</t>
  </si>
  <si>
    <t>Uv</t>
  </si>
  <si>
    <t>Av</t>
  </si>
  <si>
    <t>Lmin</t>
  </si>
  <si>
    <t>overdesign</t>
  </si>
  <si>
    <t>LT</t>
  </si>
  <si>
    <t>required L for vapor separation</t>
  </si>
  <si>
    <t>min. Hv</t>
  </si>
  <si>
    <t>2.5&lt;=L/D&lt;=5</t>
  </si>
  <si>
    <t>&lt; 1</t>
  </si>
  <si>
    <r>
      <t>(</t>
    </r>
    <r>
      <rPr>
        <sz val="11"/>
        <color theme="1"/>
        <rFont val="Calibri"/>
        <family val="2"/>
      </rPr>
      <t>ρl/ρv-1)</t>
    </r>
  </si>
  <si>
    <t>L/D</t>
  </si>
  <si>
    <t>AHLL/At</t>
  </si>
  <si>
    <t>Av/At</t>
  </si>
  <si>
    <t>AHLL req.</t>
  </si>
  <si>
    <t>AHLL available</t>
  </si>
  <si>
    <t>AHLL req.-avail</t>
  </si>
  <si>
    <t>rho_gxVg^2</t>
  </si>
  <si>
    <t>rho_mxVm^2</t>
  </si>
  <si>
    <t>gas flow</t>
  </si>
  <si>
    <t>ρg</t>
  </si>
  <si>
    <t>HC flow</t>
  </si>
  <si>
    <t>ρl</t>
  </si>
  <si>
    <t>µg</t>
  </si>
  <si>
    <t>ρw</t>
  </si>
  <si>
    <t>µw</t>
  </si>
  <si>
    <t>cP</t>
  </si>
  <si>
    <t>HC outlet</t>
  </si>
  <si>
    <t>water flow</t>
  </si>
  <si>
    <t>Q</t>
  </si>
  <si>
    <t>ρ</t>
  </si>
  <si>
    <t>V</t>
  </si>
  <si>
    <t>gas outlet</t>
  </si>
  <si>
    <t>water outlet</t>
  </si>
  <si>
    <t>ρlm</t>
  </si>
  <si>
    <t>ρlm/ρv-1</t>
  </si>
  <si>
    <t>Vs</t>
  </si>
  <si>
    <t>Vg</t>
  </si>
  <si>
    <t>Hv/D</t>
  </si>
  <si>
    <t>select D</t>
  </si>
  <si>
    <t>nozzle to nozzle</t>
  </si>
  <si>
    <t>L'</t>
  </si>
  <si>
    <t>tan to tan</t>
  </si>
  <si>
    <t>LLL</t>
  </si>
  <si>
    <t>AHLL</t>
  </si>
  <si>
    <t>based on selected diameter</t>
  </si>
  <si>
    <t>ALLL/At</t>
  </si>
  <si>
    <t>ALLL</t>
  </si>
  <si>
    <t>(HLL-LLL) Vol</t>
  </si>
  <si>
    <t>m3</t>
  </si>
  <si>
    <t>req. vol.</t>
  </si>
  <si>
    <t>round L'</t>
  </si>
  <si>
    <t>Ut,w</t>
  </si>
  <si>
    <t>Ut,o</t>
  </si>
  <si>
    <t>µl</t>
  </si>
  <si>
    <t>mm/min</t>
  </si>
  <si>
    <t>baffle H</t>
  </si>
  <si>
    <t>hor. vel. @ HLL</t>
  </si>
  <si>
    <t>ver. fall from HLL</t>
  </si>
  <si>
    <t>baffle L (B)</t>
  </si>
  <si>
    <t>m/min</t>
  </si>
  <si>
    <t>HLL - ver. Fall from HLL</t>
  </si>
  <si>
    <t>should be less than baffle height</t>
  </si>
  <si>
    <t>hor. vel. @ LLL</t>
  </si>
  <si>
    <t>ver. fall from LLL</t>
  </si>
  <si>
    <t>LLL - ver. Fall from LLL</t>
  </si>
  <si>
    <t>HIL</t>
  </si>
  <si>
    <t>LIL</t>
  </si>
  <si>
    <t>check water droplet settling</t>
  </si>
  <si>
    <t>check oil droplet rising</t>
  </si>
  <si>
    <t>should be greater than baffle height</t>
  </si>
  <si>
    <t>should be more than req. vol.</t>
  </si>
  <si>
    <t>HIL/D</t>
  </si>
  <si>
    <t>AHIL/At</t>
  </si>
  <si>
    <t>LIL/D</t>
  </si>
  <si>
    <t>ALIL/At</t>
  </si>
  <si>
    <t>(HIL-LIL) Vol</t>
  </si>
  <si>
    <t>oil surge time</t>
  </si>
  <si>
    <t>water surge time</t>
  </si>
  <si>
    <t>NLL</t>
  </si>
  <si>
    <t>NIL</t>
  </si>
  <si>
    <t>NLL/D</t>
  </si>
  <si>
    <t>ANIL/At</t>
  </si>
  <si>
    <t>ANLL/At</t>
  </si>
  <si>
    <t>NIL/D</t>
  </si>
  <si>
    <t>(NLL-NIL) Vol</t>
  </si>
  <si>
    <t>vol. NLL</t>
  </si>
  <si>
    <t>vol NIL</t>
  </si>
  <si>
    <t>oil residence time</t>
  </si>
  <si>
    <t>water residence time</t>
  </si>
  <si>
    <t>assue outlet H</t>
  </si>
  <si>
    <t>outlet H/D</t>
  </si>
  <si>
    <t>Aoutlet H/At</t>
  </si>
  <si>
    <t>(NIL-outlet H) Vol</t>
  </si>
  <si>
    <t>actual oil res. time</t>
  </si>
  <si>
    <t>actual water res. time</t>
  </si>
  <si>
    <t>C2</t>
  </si>
  <si>
    <t>C3</t>
  </si>
  <si>
    <t>iC4</t>
  </si>
  <si>
    <t>nC4</t>
  </si>
  <si>
    <t>iC5</t>
  </si>
  <si>
    <t>nC5</t>
  </si>
  <si>
    <t>C6</t>
  </si>
  <si>
    <t>mol%</t>
  </si>
  <si>
    <t>mol/h</t>
  </si>
  <si>
    <t>feed</t>
  </si>
  <si>
    <t>α</t>
  </si>
  <si>
    <t>SF</t>
  </si>
  <si>
    <t>overhead (D)</t>
  </si>
  <si>
    <t>bottoms (B)</t>
  </si>
  <si>
    <t>Sm</t>
  </si>
  <si>
    <t>b</t>
  </si>
  <si>
    <t>βij</t>
  </si>
  <si>
    <t>average method</t>
  </si>
  <si>
    <t>α_avg</t>
  </si>
  <si>
    <t>R</t>
  </si>
  <si>
    <t>R/(R+1)</t>
  </si>
  <si>
    <t>Sm/S</t>
  </si>
  <si>
    <t>S</t>
  </si>
  <si>
    <t>K</t>
  </si>
  <si>
    <t>winn method</t>
  </si>
  <si>
    <t>∑Xfi x αi/(αi-θ)</t>
  </si>
  <si>
    <t>∑Xdi x αi/(αi-θ)</t>
  </si>
  <si>
    <t>Rm</t>
  </si>
  <si>
    <t>R/Rm</t>
  </si>
  <si>
    <t>Rm/(Rm+1)</t>
  </si>
  <si>
    <t>no. of ideal trays</t>
  </si>
  <si>
    <t>feed@bubble point</t>
  </si>
  <si>
    <t>Feed Stage</t>
  </si>
  <si>
    <t>Total Stages</t>
  </si>
  <si>
    <t>Reb Duty</t>
  </si>
  <si>
    <t>delta reboiler%</t>
  </si>
  <si>
    <t>delta reboiler%/theoretical tray</t>
  </si>
  <si>
    <t>Column Top Temperature</t>
  </si>
  <si>
    <t>Column Bottom Temperature</t>
  </si>
  <si>
    <t>Avg Column Temperature</t>
  </si>
  <si>
    <t>between tray 20 and 21</t>
  </si>
  <si>
    <t>Light Key</t>
  </si>
  <si>
    <t>Heavy Key</t>
  </si>
  <si>
    <t>Ethane</t>
  </si>
  <si>
    <t>Propane</t>
  </si>
  <si>
    <t>Stage 20</t>
  </si>
  <si>
    <t>Stage 21</t>
  </si>
  <si>
    <t>µ</t>
  </si>
  <si>
    <t>T</t>
  </si>
  <si>
    <t>T_avg</t>
  </si>
  <si>
    <t>µ_avg</t>
  </si>
  <si>
    <t>(k21-k20)/(t21-t20)</t>
  </si>
  <si>
    <t>m*(tavg-t21)+k21</t>
  </si>
  <si>
    <t>Eoverall</t>
  </si>
  <si>
    <t>Corrected Eff.</t>
  </si>
  <si>
    <t>ideal tray</t>
  </si>
  <si>
    <t>actual 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</si>
</sst>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9" formatCode="0.0%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1" fontId="0" fillId="0" borderId="0" xfId="0" applyNumberFormat="1"/>
    <xf numFmtId="0" fontId="0" fillId="0" borderId="0" xfId="0" applyFill="1"/>
    <xf numFmtId="16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0" fontId="2" fillId="0" borderId="0" xfId="0" applyFont="1"/>
    <xf numFmtId="0" fontId="0" fillId="3" borderId="0" xfId="0" applyFill="1"/>
    <xf numFmtId="10" fontId="0" fillId="2" borderId="0" xfId="0" applyNumberFormat="1" applyFill="1"/>
    <xf numFmtId="0" fontId="2" fillId="0" borderId="0" xfId="0" applyFont="1" applyFill="1"/>
    <xf numFmtId="0" fontId="1" fillId="0" borderId="0" xfId="0" applyFont="1"/>
    <xf numFmtId="0" fontId="1" fillId="0" borderId="0" xfId="0" applyFont="1" applyFill="1"/>
    <xf numFmtId="2" fontId="0" fillId="2" borderId="0" xfId="0" applyNumberFormat="1" applyFill="1"/>
    <xf numFmtId="10" fontId="0" fillId="0" borderId="0" xfId="0" applyNumberFormat="1"/>
    <xf numFmtId="2" fontId="0" fillId="0" borderId="0" xfId="0" applyNumberFormat="1"/>
    <xf numFmtId="1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1" fontId="0" fillId="2" borderId="0" xfId="0" applyNumberFormat="1" applyFill="1"/>
    <xf numFmtId="0" fontId="0" fillId="0" borderId="0" xfId="0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/>
    </xf>
    <xf numFmtId="2" fontId="0" fillId="3" borderId="0" xfId="0" applyNumberFormat="1" applyFill="1"/>
    <xf numFmtId="2" fontId="0" fillId="4" borderId="0" xfId="0" applyNumberForma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11" fontId="0" fillId="0" borderId="4" xfId="0" applyNumberFormat="1" applyBorder="1"/>
    <xf numFmtId="11" fontId="0" fillId="2" borderId="0" xfId="0" applyNumberFormat="1" applyFill="1" applyBorder="1"/>
    <xf numFmtId="0" fontId="0" fillId="2" borderId="5" xfId="0" applyFill="1" applyBorder="1"/>
    <xf numFmtId="11" fontId="0" fillId="0" borderId="6" xfId="0" applyNumberFormat="1" applyBorder="1"/>
    <xf numFmtId="0" fontId="0" fillId="0" borderId="7" xfId="0" applyBorder="1"/>
    <xf numFmtId="0" fontId="0" fillId="2" borderId="8" xfId="0" applyFill="1" applyBorder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zoomScale="145" zoomScaleNormal="145" workbookViewId="0">
      <selection activeCell="C21" sqref="C21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11</v>
      </c>
      <c r="B13" s="3">
        <f>B9/B7-1</f>
        <v>384.71428571428572</v>
      </c>
    </row>
    <row r="14" spans="1:3" x14ac:dyDescent="0.55000000000000004">
      <c r="A14" t="s">
        <v>12</v>
      </c>
      <c r="B14" s="1">
        <v>1.6</v>
      </c>
      <c r="C14" t="s">
        <v>13</v>
      </c>
    </row>
    <row r="15" spans="1:3" x14ac:dyDescent="0.55000000000000004">
      <c r="A15" t="s">
        <v>14</v>
      </c>
      <c r="B15">
        <f>B14*0.85</f>
        <v>1.36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11" x14ac:dyDescent="0.55000000000000004">
      <c r="A17" t="s">
        <v>19</v>
      </c>
      <c r="B17">
        <f>(B16/B15*4/PI())^0.5</f>
        <v>0.95014190265724019</v>
      </c>
      <c r="C17" t="s">
        <v>18</v>
      </c>
    </row>
    <row r="18" spans="1:11" x14ac:dyDescent="0.55000000000000004">
      <c r="A18" t="s">
        <v>20</v>
      </c>
      <c r="B18">
        <f>B17+0.15</f>
        <v>1.1001419026572401</v>
      </c>
      <c r="C18" t="s">
        <v>18</v>
      </c>
    </row>
    <row r="20" spans="1:11" x14ac:dyDescent="0.55000000000000004">
      <c r="B20" t="s">
        <v>30</v>
      </c>
    </row>
    <row r="21" spans="1:11" x14ac:dyDescent="0.55000000000000004">
      <c r="A21" t="s">
        <v>31</v>
      </c>
      <c r="F21" t="s">
        <v>42</v>
      </c>
      <c r="J21" t="s">
        <v>43</v>
      </c>
    </row>
    <row r="22" spans="1:11" x14ac:dyDescent="0.55000000000000004">
      <c r="A22" t="s">
        <v>32</v>
      </c>
      <c r="B22" s="1">
        <v>8</v>
      </c>
      <c r="C22" t="s">
        <v>33</v>
      </c>
      <c r="F22" s="1">
        <v>8</v>
      </c>
      <c r="G22" t="s">
        <v>33</v>
      </c>
      <c r="J22" s="1">
        <v>3</v>
      </c>
      <c r="K22" t="s">
        <v>33</v>
      </c>
    </row>
    <row r="23" spans="1:11" x14ac:dyDescent="0.55000000000000004">
      <c r="A23" t="s">
        <v>34</v>
      </c>
      <c r="B23">
        <f>PI()/4*(B22*25.4/1000)^2</f>
        <v>3.2429278662239852E-2</v>
      </c>
      <c r="C23" t="s">
        <v>35</v>
      </c>
      <c r="F23">
        <f>PI()/4*(F22*25.4/1000)^2</f>
        <v>3.2429278662239852E-2</v>
      </c>
      <c r="G23" t="s">
        <v>35</v>
      </c>
      <c r="J23">
        <f>PI()/4*(J22*25.4/1000)^2</f>
        <v>4.5603673118774788E-3</v>
      </c>
      <c r="K23" t="s">
        <v>35</v>
      </c>
    </row>
    <row r="24" spans="1:11" x14ac:dyDescent="0.55000000000000004">
      <c r="A24" t="s">
        <v>36</v>
      </c>
      <c r="B24">
        <f>(B6+B8)/(B6/B7+B8/B9)</f>
        <v>5.2168328421704695</v>
      </c>
      <c r="C24" t="s">
        <v>5</v>
      </c>
    </row>
    <row r="25" spans="1:11" x14ac:dyDescent="0.55000000000000004">
      <c r="A25" t="s">
        <v>44</v>
      </c>
      <c r="B25">
        <f>((B6+B8)/B24/3600/B23)</f>
        <v>29.850194704271868</v>
      </c>
      <c r="F25">
        <f>(B6/B7/3600/F23)</f>
        <v>29.735034328978568</v>
      </c>
      <c r="J25">
        <f>B8/B9/3600/J23</f>
        <v>0.81891822430791583</v>
      </c>
      <c r="K25" t="s">
        <v>13</v>
      </c>
    </row>
    <row r="26" spans="1:11" x14ac:dyDescent="0.55000000000000004">
      <c r="A26" t="s">
        <v>37</v>
      </c>
      <c r="B26">
        <f>B24*((B6+B8)/B24/3600/B23)^2</f>
        <v>4648.376080967113</v>
      </c>
      <c r="C26" t="s">
        <v>39</v>
      </c>
      <c r="D26" t="s">
        <v>40</v>
      </c>
    </row>
    <row r="27" spans="1:11" x14ac:dyDescent="0.55000000000000004">
      <c r="A27" t="s">
        <v>38</v>
      </c>
      <c r="B27">
        <f>B7*(B6/B7/3600/B23)^2</f>
        <v>1856.7617597456212</v>
      </c>
      <c r="C27" t="s">
        <v>39</v>
      </c>
      <c r="D27" t="s">
        <v>41</v>
      </c>
      <c r="F27">
        <f>B7*(B6/B7/3600/F23)^2</f>
        <v>1856.7617597456212</v>
      </c>
      <c r="G27" t="s">
        <v>39</v>
      </c>
      <c r="H27" t="s">
        <v>41</v>
      </c>
    </row>
    <row r="29" spans="1:11" x14ac:dyDescent="0.55000000000000004">
      <c r="A29" t="s">
        <v>21</v>
      </c>
    </row>
    <row r="30" spans="1:11" x14ac:dyDescent="0.55000000000000004">
      <c r="A30" t="s">
        <v>22</v>
      </c>
      <c r="B30">
        <v>150</v>
      </c>
      <c r="C30" t="s">
        <v>23</v>
      </c>
      <c r="D30" t="s">
        <v>24</v>
      </c>
    </row>
    <row r="31" spans="1:11" x14ac:dyDescent="0.55000000000000004">
      <c r="A31" t="s">
        <v>25</v>
      </c>
      <c r="B31">
        <f>ROUNDUP(MAX(150,2*B8/B9/60/(PI()/4*B18^2)*1000),0)</f>
        <v>472</v>
      </c>
      <c r="C31" t="s">
        <v>23</v>
      </c>
    </row>
    <row r="32" spans="1:11" x14ac:dyDescent="0.55000000000000004">
      <c r="A32" t="s">
        <v>26</v>
      </c>
      <c r="B32">
        <f>ROUNDUP(MAX(150,B10*B8/B9/60/(PI()/4*B18^2)*1000),0)</f>
        <v>943</v>
      </c>
      <c r="C32" t="s">
        <v>23</v>
      </c>
    </row>
    <row r="33" spans="1:4" x14ac:dyDescent="0.55000000000000004">
      <c r="A33" t="s">
        <v>29</v>
      </c>
      <c r="B33">
        <f>ROUNDUP(MAX(200,2*B8/B9/60/(PI()/4*B18^2)*1000),0)</f>
        <v>472</v>
      </c>
      <c r="C33" t="s">
        <v>23</v>
      </c>
    </row>
    <row r="34" spans="1:4" x14ac:dyDescent="0.55000000000000004">
      <c r="A34" t="s">
        <v>45</v>
      </c>
      <c r="B34">
        <f>400+B22*25.4/2</f>
        <v>501.6</v>
      </c>
      <c r="C34" t="s">
        <v>23</v>
      </c>
    </row>
    <row r="35" spans="1:4" x14ac:dyDescent="0.55000000000000004">
      <c r="A35" t="s">
        <v>46</v>
      </c>
      <c r="B35">
        <f>MAX(0.5*B18*1000,600)</f>
        <v>600</v>
      </c>
      <c r="C35" t="s">
        <v>23</v>
      </c>
    </row>
    <row r="36" spans="1:4" x14ac:dyDescent="0.55000000000000004">
      <c r="A36" t="s">
        <v>47</v>
      </c>
      <c r="B36">
        <v>150</v>
      </c>
      <c r="C36" t="s">
        <v>23</v>
      </c>
    </row>
    <row r="37" spans="1:4" x14ac:dyDescent="0.55000000000000004">
      <c r="A37" t="s">
        <v>48</v>
      </c>
      <c r="B37">
        <f>MAX(0.15*B18*1000,400)</f>
        <v>400</v>
      </c>
      <c r="C37" t="s">
        <v>23</v>
      </c>
    </row>
    <row r="39" spans="1:4" x14ac:dyDescent="0.55000000000000004">
      <c r="A39" t="s">
        <v>49</v>
      </c>
      <c r="B39">
        <f>SUM(B30:B37)/1000</f>
        <v>3.6886000000000001</v>
      </c>
      <c r="C39" t="s">
        <v>18</v>
      </c>
    </row>
    <row r="40" spans="1:4" x14ac:dyDescent="0.55000000000000004">
      <c r="A40" t="s">
        <v>50</v>
      </c>
      <c r="B40">
        <f>B39/B18</f>
        <v>3.3528402027872031</v>
      </c>
      <c r="D40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zoomScale="145" zoomScaleNormal="145" workbookViewId="0">
      <selection activeCell="B13" sqref="B13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52</v>
      </c>
      <c r="B13" s="5">
        <v>0.107</v>
      </c>
      <c r="C13" t="s">
        <v>13</v>
      </c>
    </row>
    <row r="14" spans="1:3" x14ac:dyDescent="0.55000000000000004">
      <c r="A14" t="s">
        <v>12</v>
      </c>
      <c r="B14" s="4">
        <f>B13*((B9-B7)/B7)^0.5</f>
        <v>2.0987124284052965</v>
      </c>
      <c r="C14" t="s">
        <v>13</v>
      </c>
    </row>
    <row r="15" spans="1:3" x14ac:dyDescent="0.55000000000000004">
      <c r="A15" t="s">
        <v>14</v>
      </c>
      <c r="B15">
        <f>B14*0.75</f>
        <v>1.5740343213039725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3" x14ac:dyDescent="0.55000000000000004">
      <c r="A17" t="s">
        <v>19</v>
      </c>
      <c r="B17">
        <f>(B16/B15*4/PI())^0.5</f>
        <v>0.88318325606102199</v>
      </c>
      <c r="C17" t="s">
        <v>18</v>
      </c>
    </row>
    <row r="18" spans="1:3" x14ac:dyDescent="0.55000000000000004">
      <c r="A18" t="s">
        <v>20</v>
      </c>
      <c r="B18">
        <f>B17+0.15</f>
        <v>1.0331832560610219</v>
      </c>
      <c r="C1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zoomScale="145" zoomScaleNormal="145" workbookViewId="0">
      <selection activeCell="E16" sqref="E16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52</v>
      </c>
      <c r="B13" s="5">
        <v>1.7</v>
      </c>
    </row>
    <row r="14" spans="1:3" x14ac:dyDescent="0.55000000000000004">
      <c r="A14" t="s">
        <v>53</v>
      </c>
      <c r="B14" s="4">
        <f>0.048*((B9-B7)/B7)^0.5</f>
        <v>0.94147847255564698</v>
      </c>
      <c r="C14" t="s">
        <v>13</v>
      </c>
    </row>
    <row r="15" spans="1:3" x14ac:dyDescent="0.55000000000000004">
      <c r="A15" t="s">
        <v>14</v>
      </c>
      <c r="B15">
        <f>B14*B13</f>
        <v>1.6005134033445998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3" x14ac:dyDescent="0.55000000000000004">
      <c r="A17" t="s">
        <v>19</v>
      </c>
      <c r="B17">
        <f>(B16/B15*4/PI())^0.5</f>
        <v>0.87584704287373627</v>
      </c>
      <c r="C17" t="s">
        <v>18</v>
      </c>
    </row>
    <row r="18" spans="1:3" x14ac:dyDescent="0.55000000000000004">
      <c r="A18" t="s">
        <v>20</v>
      </c>
      <c r="B18">
        <f>B17+0.15</f>
        <v>1.0258470428737363</v>
      </c>
      <c r="C18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6"/>
  <sheetViews>
    <sheetView topLeftCell="A37" zoomScale="145" zoomScaleNormal="145" workbookViewId="0">
      <selection activeCell="D49" sqref="D49"/>
    </sheetView>
  </sheetViews>
  <sheetFormatPr defaultRowHeight="14.4" x14ac:dyDescent="0.55000000000000004"/>
  <cols>
    <col min="1" max="1" width="12.734375" customWidth="1"/>
    <col min="2" max="2" width="9.15625" bestFit="1" customWidth="1"/>
  </cols>
  <sheetData>
    <row r="3" spans="1:5" x14ac:dyDescent="0.55000000000000004">
      <c r="A3" t="s">
        <v>0</v>
      </c>
      <c r="B3" s="1">
        <v>24</v>
      </c>
      <c r="C3" t="s">
        <v>1</v>
      </c>
      <c r="D3">
        <f>B3*14.5</f>
        <v>348</v>
      </c>
      <c r="E3" t="s">
        <v>55</v>
      </c>
    </row>
    <row r="4" spans="1:5" x14ac:dyDescent="0.55000000000000004">
      <c r="A4" t="s">
        <v>2</v>
      </c>
      <c r="B4" s="1">
        <v>0.3</v>
      </c>
      <c r="C4" t="s">
        <v>3</v>
      </c>
    </row>
    <row r="6" spans="1:5" x14ac:dyDescent="0.55000000000000004">
      <c r="A6" t="s">
        <v>6</v>
      </c>
      <c r="B6" s="7">
        <v>95818.1562289914</v>
      </c>
      <c r="C6" t="s">
        <v>4</v>
      </c>
    </row>
    <row r="7" spans="1:5" x14ac:dyDescent="0.55000000000000004">
      <c r="A7" t="s">
        <v>7</v>
      </c>
      <c r="B7" s="6">
        <v>46.732997998426498</v>
      </c>
      <c r="C7" t="s">
        <v>5</v>
      </c>
    </row>
    <row r="8" spans="1:5" x14ac:dyDescent="0.55000000000000004">
      <c r="A8" t="s">
        <v>8</v>
      </c>
      <c r="B8" s="7">
        <v>178933.358855678</v>
      </c>
      <c r="C8" t="s">
        <v>4</v>
      </c>
    </row>
    <row r="9" spans="1:5" x14ac:dyDescent="0.55000000000000004">
      <c r="A9" t="s">
        <v>9</v>
      </c>
      <c r="B9" s="6">
        <v>403.90306466821397</v>
      </c>
      <c r="C9" t="s">
        <v>5</v>
      </c>
    </row>
    <row r="10" spans="1:5" x14ac:dyDescent="0.55000000000000004">
      <c r="A10" t="s">
        <v>27</v>
      </c>
      <c r="B10" s="1">
        <v>5</v>
      </c>
      <c r="C10" t="s">
        <v>28</v>
      </c>
      <c r="D10" t="s">
        <v>54</v>
      </c>
    </row>
    <row r="11" spans="1:5" x14ac:dyDescent="0.55000000000000004">
      <c r="A11" t="s">
        <v>81</v>
      </c>
      <c r="B11" s="10">
        <v>0</v>
      </c>
    </row>
    <row r="13" spans="1:5" x14ac:dyDescent="0.55000000000000004">
      <c r="B13" t="s">
        <v>10</v>
      </c>
    </row>
    <row r="14" spans="1:5" x14ac:dyDescent="0.55000000000000004">
      <c r="A14" t="s">
        <v>52</v>
      </c>
      <c r="B14" s="2">
        <f>IF(D3&lt;15,(0.1821+0.0029*D3+0.046*LN(D3)),IF(D3&lt;=40,0.35,(0.43-0.023*LN(D3))))*0.3048</f>
        <v>9.0037719735789029E-2</v>
      </c>
      <c r="C14" t="s">
        <v>13</v>
      </c>
      <c r="D14" t="s">
        <v>56</v>
      </c>
    </row>
    <row r="15" spans="1:5" x14ac:dyDescent="0.55000000000000004">
      <c r="A15" t="s">
        <v>52</v>
      </c>
      <c r="B15" s="2">
        <f>(0.35-0.01*((D3-100)/100))*0.3048</f>
        <v>9.9120960000000008E-2</v>
      </c>
      <c r="C15" t="s">
        <v>13</v>
      </c>
      <c r="D15" t="s">
        <v>57</v>
      </c>
    </row>
    <row r="16" spans="1:5" x14ac:dyDescent="0.55000000000000004">
      <c r="A16" t="s">
        <v>58</v>
      </c>
      <c r="B16" s="4">
        <f>B14*((B9-B7)/B7)^0.5</f>
        <v>0.24891449857679043</v>
      </c>
      <c r="C16" t="s">
        <v>13</v>
      </c>
    </row>
    <row r="17" spans="1:4" x14ac:dyDescent="0.55000000000000004">
      <c r="A17" t="s">
        <v>14</v>
      </c>
      <c r="B17">
        <f>B16*0.75</f>
        <v>0.18668587393259284</v>
      </c>
      <c r="C17" t="s">
        <v>13</v>
      </c>
    </row>
    <row r="19" spans="1:4" x14ac:dyDescent="0.55000000000000004">
      <c r="A19" t="s">
        <v>59</v>
      </c>
      <c r="B19" s="1">
        <v>2.5</v>
      </c>
      <c r="C19" t="s">
        <v>18</v>
      </c>
    </row>
    <row r="20" spans="1:4" x14ac:dyDescent="0.55000000000000004">
      <c r="A20" t="s">
        <v>60</v>
      </c>
      <c r="B20" s="1">
        <v>4</v>
      </c>
      <c r="D20" t="s">
        <v>85</v>
      </c>
    </row>
    <row r="21" spans="1:4" x14ac:dyDescent="0.55000000000000004">
      <c r="A21" t="s">
        <v>61</v>
      </c>
      <c r="B21">
        <f>B19*B20</f>
        <v>10</v>
      </c>
      <c r="C21" t="s">
        <v>18</v>
      </c>
    </row>
    <row r="23" spans="1:4" x14ac:dyDescent="0.55000000000000004">
      <c r="A23" t="s">
        <v>62</v>
      </c>
      <c r="B23">
        <f>PI()/4*B19^2</f>
        <v>4.908738521234052</v>
      </c>
      <c r="C23" t="s">
        <v>35</v>
      </c>
    </row>
    <row r="25" spans="1:4" x14ac:dyDescent="0.55000000000000004">
      <c r="A25" t="s">
        <v>63</v>
      </c>
      <c r="B25" s="1">
        <v>0.15</v>
      </c>
      <c r="C25" t="s">
        <v>18</v>
      </c>
    </row>
    <row r="26" spans="1:4" x14ac:dyDescent="0.55000000000000004">
      <c r="A26" t="s">
        <v>64</v>
      </c>
      <c r="B26" s="1">
        <v>0.1</v>
      </c>
      <c r="C26" t="s">
        <v>18</v>
      </c>
    </row>
    <row r="27" spans="1:4" x14ac:dyDescent="0.55000000000000004">
      <c r="A27" t="s">
        <v>67</v>
      </c>
      <c r="B27">
        <f>(B26+B25)/B19</f>
        <v>0.1</v>
      </c>
    </row>
    <row r="28" spans="1:4" x14ac:dyDescent="0.55000000000000004">
      <c r="A28" s="8" t="s">
        <v>65</v>
      </c>
      <c r="B28">
        <f>2*ACOS(1-2*B27)</f>
        <v>1.2870022175865685</v>
      </c>
    </row>
    <row r="29" spans="1:4" x14ac:dyDescent="0.55000000000000004">
      <c r="A29" t="s">
        <v>68</v>
      </c>
      <c r="B29">
        <f>(B28-SIN(B28))/2/PI()</f>
        <v>5.2044019330913897E-2</v>
      </c>
    </row>
    <row r="30" spans="1:4" x14ac:dyDescent="0.55000000000000004">
      <c r="A30" t="s">
        <v>66</v>
      </c>
      <c r="B30">
        <f>B8*(1+B11)/B9/60*B10/B21</f>
        <v>3.6917554092395646</v>
      </c>
      <c r="C30" t="s">
        <v>35</v>
      </c>
    </row>
    <row r="31" spans="1:4" x14ac:dyDescent="0.55000000000000004">
      <c r="A31" t="s">
        <v>69</v>
      </c>
      <c r="B31">
        <f>B29*B23</f>
        <v>0.25547048248950671</v>
      </c>
      <c r="C31" t="s">
        <v>35</v>
      </c>
    </row>
    <row r="32" spans="1:4" x14ac:dyDescent="0.55000000000000004">
      <c r="A32" t="s">
        <v>70</v>
      </c>
      <c r="B32">
        <f>B30+B31</f>
        <v>3.9472258917290715</v>
      </c>
      <c r="C32" t="s">
        <v>35</v>
      </c>
    </row>
    <row r="33" spans="1:11" x14ac:dyDescent="0.55000000000000004">
      <c r="A33" t="s">
        <v>71</v>
      </c>
      <c r="B33">
        <f>B32/B23</f>
        <v>0.80412225557631511</v>
      </c>
    </row>
    <row r="34" spans="1:11" x14ac:dyDescent="0.55000000000000004">
      <c r="A34" t="s">
        <v>72</v>
      </c>
      <c r="B34" s="9">
        <v>0.7493525564916661</v>
      </c>
    </row>
    <row r="35" spans="1:11" x14ac:dyDescent="0.55000000000000004">
      <c r="A35" s="8" t="s">
        <v>65</v>
      </c>
      <c r="B35">
        <f>2*ACOS(1-2*B34)</f>
        <v>4.1858010798398713</v>
      </c>
    </row>
    <row r="36" spans="1:11" x14ac:dyDescent="0.55000000000000004">
      <c r="A36" s="8" t="s">
        <v>73</v>
      </c>
      <c r="B36">
        <f>(B35-SIN(B35))/2/PI()-B33</f>
        <v>-3.3758147202000988E-4</v>
      </c>
    </row>
    <row r="37" spans="1:11" x14ac:dyDescent="0.55000000000000004">
      <c r="A37" s="8" t="s">
        <v>74</v>
      </c>
      <c r="B37">
        <f>B34*B19</f>
        <v>1.8733813912291652</v>
      </c>
      <c r="C37" t="s">
        <v>18</v>
      </c>
    </row>
    <row r="38" spans="1:11" x14ac:dyDescent="0.55000000000000004">
      <c r="A38" s="8" t="s">
        <v>75</v>
      </c>
      <c r="B38">
        <f>B19-B37</f>
        <v>0.62661860877083475</v>
      </c>
      <c r="C38" t="s">
        <v>18</v>
      </c>
      <c r="D38">
        <f>MAX(0.2*B19,0.6)</f>
        <v>0.6</v>
      </c>
      <c r="E38" t="s">
        <v>84</v>
      </c>
    </row>
    <row r="39" spans="1:11" x14ac:dyDescent="0.55000000000000004">
      <c r="A39" s="8" t="s">
        <v>76</v>
      </c>
      <c r="B39">
        <f>B38/B17</f>
        <v>3.3565400293601733</v>
      </c>
      <c r="C39" t="s">
        <v>77</v>
      </c>
    </row>
    <row r="40" spans="1:11" x14ac:dyDescent="0.55000000000000004">
      <c r="A40" s="8" t="s">
        <v>79</v>
      </c>
      <c r="B40">
        <f>B23-B32</f>
        <v>0.96151262950498051</v>
      </c>
      <c r="C40" t="s">
        <v>35</v>
      </c>
    </row>
    <row r="41" spans="1:11" x14ac:dyDescent="0.55000000000000004">
      <c r="A41" s="8" t="s">
        <v>78</v>
      </c>
      <c r="B41">
        <f>B6*(1+B11)/B7/3600/B40</f>
        <v>0.59233401552178011</v>
      </c>
      <c r="C41" t="s">
        <v>13</v>
      </c>
    </row>
    <row r="42" spans="1:11" x14ac:dyDescent="0.55000000000000004">
      <c r="A42" s="8" t="s">
        <v>80</v>
      </c>
      <c r="B42">
        <f>B39*B41</f>
        <v>1.988192833850505</v>
      </c>
      <c r="C42" t="s">
        <v>18</v>
      </c>
    </row>
    <row r="44" spans="1:11" x14ac:dyDescent="0.55000000000000004">
      <c r="B44" t="s">
        <v>30</v>
      </c>
    </row>
    <row r="45" spans="1:11" x14ac:dyDescent="0.55000000000000004">
      <c r="A45" t="s">
        <v>31</v>
      </c>
      <c r="F45" t="s">
        <v>42</v>
      </c>
      <c r="J45" t="s">
        <v>43</v>
      </c>
    </row>
    <row r="46" spans="1:11" x14ac:dyDescent="0.55000000000000004">
      <c r="A46" t="s">
        <v>32</v>
      </c>
      <c r="B46" s="1">
        <v>14</v>
      </c>
      <c r="C46" t="s">
        <v>33</v>
      </c>
      <c r="F46" s="1">
        <v>12</v>
      </c>
      <c r="G46" t="s">
        <v>33</v>
      </c>
      <c r="J46" s="1">
        <v>16</v>
      </c>
      <c r="K46" t="s">
        <v>33</v>
      </c>
    </row>
    <row r="47" spans="1:11" x14ac:dyDescent="0.55000000000000004">
      <c r="A47" t="s">
        <v>34</v>
      </c>
      <c r="B47">
        <f>PI()/4*(B46*25.4/1000)^2</f>
        <v>9.9314665903109542E-2</v>
      </c>
      <c r="C47" t="s">
        <v>35</v>
      </c>
      <c r="F47">
        <f>PI()/4*(F46*25.4/1000)^2</f>
        <v>7.296587699003966E-2</v>
      </c>
      <c r="G47" t="s">
        <v>35</v>
      </c>
      <c r="J47">
        <f>PI()/4*(J46*25.4/1000)^2</f>
        <v>0.12971711464895941</v>
      </c>
      <c r="K47" t="s">
        <v>35</v>
      </c>
    </row>
    <row r="48" spans="1:11" x14ac:dyDescent="0.55000000000000004">
      <c r="A48" t="s">
        <v>36</v>
      </c>
      <c r="B48">
        <f>(B6+B8)/(B6/B7+B8/B9)</f>
        <v>110.19405095691113</v>
      </c>
      <c r="C48" t="s">
        <v>5</v>
      </c>
    </row>
    <row r="49" spans="1:12" x14ac:dyDescent="0.55000000000000004">
      <c r="A49" t="s">
        <v>44</v>
      </c>
      <c r="B49">
        <f>((B6+B8)*(1+B11)/B48/3600/B47)</f>
        <v>6.9737449565263496</v>
      </c>
      <c r="F49">
        <f>(B6*(1+B11)/B7/3600/F47)</f>
        <v>7.8055203377783888</v>
      </c>
      <c r="J49">
        <f>B8*(1+B11)/B9/3600/J47</f>
        <v>0.9486682923401426</v>
      </c>
      <c r="K49" t="s">
        <v>13</v>
      </c>
      <c r="L49" t="s">
        <v>86</v>
      </c>
    </row>
    <row r="50" spans="1:12" x14ac:dyDescent="0.55000000000000004">
      <c r="A50" t="s">
        <v>95</v>
      </c>
      <c r="B50">
        <f>B48*((B6+B8)*(1+B11)/B48/3600/B47)^2</f>
        <v>5359.0803622793683</v>
      </c>
      <c r="C50" t="s">
        <v>39</v>
      </c>
      <c r="D50" t="s">
        <v>40</v>
      </c>
    </row>
    <row r="51" spans="1:12" x14ac:dyDescent="0.55000000000000004">
      <c r="A51" t="s">
        <v>94</v>
      </c>
      <c r="B51">
        <f>B7*(B6*(1+B11)/B7/3600/B47)^2</f>
        <v>1536.8808648686302</v>
      </c>
      <c r="C51" t="s">
        <v>39</v>
      </c>
      <c r="D51" t="s">
        <v>41</v>
      </c>
      <c r="F51">
        <f>B7*(B6*(1+B11)/B7/3600/F47)^2</f>
        <v>2847.2615405475162</v>
      </c>
      <c r="G51" t="s">
        <v>39</v>
      </c>
      <c r="H51" t="s">
        <v>41</v>
      </c>
    </row>
    <row r="54" spans="1:12" x14ac:dyDescent="0.55000000000000004">
      <c r="A54" t="s">
        <v>82</v>
      </c>
      <c r="B54">
        <f>B42+1.5*(B46+F46)*25.4/1000</f>
        <v>2.978792833850505</v>
      </c>
      <c r="C54" t="s">
        <v>18</v>
      </c>
      <c r="D54" t="s">
        <v>83</v>
      </c>
    </row>
    <row r="56" spans="1:12" x14ac:dyDescent="0.55000000000000004">
      <c r="B56" t="str">
        <f>IF(B54&gt;B21,"increase vessel D or L","selected L and D is correct")</f>
        <v>selected L and D is correct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8"/>
  <sheetViews>
    <sheetView zoomScale="145" zoomScaleNormal="145" workbookViewId="0">
      <selection activeCell="E27" sqref="E27"/>
    </sheetView>
  </sheetViews>
  <sheetFormatPr defaultRowHeight="14.4" x14ac:dyDescent="0.55000000000000004"/>
  <cols>
    <col min="1" max="1" width="12.734375" customWidth="1"/>
    <col min="2" max="2" width="9.15625" bestFit="1" customWidth="1"/>
  </cols>
  <sheetData>
    <row r="3" spans="1:5" x14ac:dyDescent="0.55000000000000004">
      <c r="A3" t="s">
        <v>0</v>
      </c>
      <c r="B3" s="1">
        <v>20</v>
      </c>
      <c r="C3" t="s">
        <v>1</v>
      </c>
      <c r="D3">
        <f>B3*14.5</f>
        <v>290</v>
      </c>
      <c r="E3" t="s">
        <v>55</v>
      </c>
    </row>
    <row r="4" spans="1:5" x14ac:dyDescent="0.55000000000000004">
      <c r="A4" t="s">
        <v>2</v>
      </c>
      <c r="B4" s="1">
        <v>18</v>
      </c>
      <c r="C4" t="s">
        <v>3</v>
      </c>
    </row>
    <row r="6" spans="1:5" x14ac:dyDescent="0.55000000000000004">
      <c r="A6" t="s">
        <v>6</v>
      </c>
      <c r="B6" s="7">
        <v>17950</v>
      </c>
      <c r="C6" t="s">
        <v>4</v>
      </c>
    </row>
    <row r="7" spans="1:5" x14ac:dyDescent="0.55000000000000004">
      <c r="A7" t="s">
        <v>7</v>
      </c>
      <c r="B7" s="6">
        <v>18</v>
      </c>
      <c r="C7" t="s">
        <v>5</v>
      </c>
    </row>
    <row r="8" spans="1:5" x14ac:dyDescent="0.55000000000000004">
      <c r="A8" t="s">
        <v>8</v>
      </c>
      <c r="B8" s="7">
        <v>121650</v>
      </c>
      <c r="C8" t="s">
        <v>4</v>
      </c>
    </row>
    <row r="9" spans="1:5" x14ac:dyDescent="0.55000000000000004">
      <c r="A9" t="s">
        <v>9</v>
      </c>
      <c r="B9" s="6">
        <v>765.8</v>
      </c>
      <c r="C9" t="s">
        <v>5</v>
      </c>
    </row>
    <row r="10" spans="1:5" x14ac:dyDescent="0.55000000000000004">
      <c r="A10" t="s">
        <v>27</v>
      </c>
      <c r="B10" s="1">
        <v>5</v>
      </c>
      <c r="C10" t="s">
        <v>28</v>
      </c>
      <c r="D10" t="s">
        <v>54</v>
      </c>
    </row>
    <row r="11" spans="1:5" x14ac:dyDescent="0.55000000000000004">
      <c r="A11" t="s">
        <v>81</v>
      </c>
      <c r="B11" s="10">
        <v>0</v>
      </c>
    </row>
    <row r="12" spans="1:5" x14ac:dyDescent="0.55000000000000004">
      <c r="A12" t="s">
        <v>88</v>
      </c>
      <c r="B12" s="1">
        <v>3</v>
      </c>
    </row>
    <row r="14" spans="1:5" x14ac:dyDescent="0.55000000000000004">
      <c r="B14" t="s">
        <v>10</v>
      </c>
    </row>
    <row r="15" spans="1:5" x14ac:dyDescent="0.55000000000000004">
      <c r="A15" t="s">
        <v>87</v>
      </c>
      <c r="B15" s="2">
        <f>B9/B7-1</f>
        <v>41.544444444444444</v>
      </c>
    </row>
    <row r="16" spans="1:5" x14ac:dyDescent="0.55000000000000004">
      <c r="A16" t="s">
        <v>12</v>
      </c>
      <c r="B16" s="2">
        <v>0.22</v>
      </c>
    </row>
    <row r="17" spans="1:5" x14ac:dyDescent="0.55000000000000004">
      <c r="A17" t="s">
        <v>14</v>
      </c>
      <c r="B17">
        <f>B16*0.85*B12</f>
        <v>0.56099999999999994</v>
      </c>
      <c r="C17" t="s">
        <v>13</v>
      </c>
    </row>
    <row r="18" spans="1:5" x14ac:dyDescent="0.55000000000000004">
      <c r="A18" t="s">
        <v>79</v>
      </c>
      <c r="B18">
        <f>B6/B7/3600/B17</f>
        <v>0.49377214409894155</v>
      </c>
      <c r="C18" t="s">
        <v>35</v>
      </c>
    </row>
    <row r="20" spans="1:5" x14ac:dyDescent="0.55000000000000004">
      <c r="A20" t="s">
        <v>72</v>
      </c>
      <c r="B20" s="1">
        <v>0.7</v>
      </c>
      <c r="C20" s="1">
        <v>0.7</v>
      </c>
    </row>
    <row r="21" spans="1:5" x14ac:dyDescent="0.55000000000000004">
      <c r="A21" s="11" t="s">
        <v>65</v>
      </c>
      <c r="B21" s="4">
        <f>2*ACOS(1-2*B20)</f>
        <v>3.9646263457247688</v>
      </c>
      <c r="C21" s="4">
        <f>2*ACOS(1-2*C20)</f>
        <v>3.9646263457247688</v>
      </c>
      <c r="E21" s="4"/>
    </row>
    <row r="22" spans="1:5" x14ac:dyDescent="0.55000000000000004">
      <c r="A22" s="11" t="s">
        <v>89</v>
      </c>
      <c r="B22" s="4">
        <f>(B21-SIN(B21))/2/PI()</f>
        <v>0.7476842122656544</v>
      </c>
      <c r="C22" s="4">
        <f>(C21-SIN(C21))/2/PI()</f>
        <v>0.7476842122656544</v>
      </c>
      <c r="E22" s="4"/>
    </row>
    <row r="23" spans="1:5" x14ac:dyDescent="0.55000000000000004">
      <c r="A23" s="11" t="s">
        <v>92</v>
      </c>
      <c r="B23" s="13">
        <f>B22*B25</f>
        <v>1.4631888076224657</v>
      </c>
      <c r="C23" s="13">
        <f>C22*C25</f>
        <v>2.3489192284588514</v>
      </c>
      <c r="E23" s="4"/>
    </row>
    <row r="24" spans="1:5" x14ac:dyDescent="0.55000000000000004">
      <c r="A24" s="11" t="s">
        <v>90</v>
      </c>
      <c r="B24" s="4">
        <f>1-B22</f>
        <v>0.2523157877343456</v>
      </c>
      <c r="C24" s="4">
        <f>1-C22</f>
        <v>0.2523157877343456</v>
      </c>
      <c r="E24" s="4"/>
    </row>
    <row r="25" spans="1:5" x14ac:dyDescent="0.55000000000000004">
      <c r="A25" s="11" t="s">
        <v>62</v>
      </c>
      <c r="B25" s="4">
        <f>B18/B24</f>
        <v>1.9569609517214073</v>
      </c>
      <c r="C25" s="4">
        <f>PI()/4*C26^2</f>
        <v>3.1415926535897931</v>
      </c>
      <c r="E25" s="4" t="s">
        <v>35</v>
      </c>
    </row>
    <row r="26" spans="1:5" x14ac:dyDescent="0.55000000000000004">
      <c r="A26" s="11" t="s">
        <v>17</v>
      </c>
      <c r="B26" s="4">
        <f>(4*B25/PI())^0.5</f>
        <v>1.5785056449801678</v>
      </c>
      <c r="C26" s="9">
        <v>2</v>
      </c>
      <c r="E26" s="4" t="s">
        <v>18</v>
      </c>
    </row>
    <row r="27" spans="1:5" x14ac:dyDescent="0.55000000000000004">
      <c r="A27" s="11" t="s">
        <v>61</v>
      </c>
      <c r="B27" s="4">
        <f>B26*B12</f>
        <v>4.7355169349405033</v>
      </c>
      <c r="C27" s="4">
        <f>C26*B12</f>
        <v>6</v>
      </c>
      <c r="E27" s="4"/>
    </row>
    <row r="28" spans="1:5" x14ac:dyDescent="0.55000000000000004">
      <c r="A28" t="s">
        <v>63</v>
      </c>
      <c r="B28" s="1">
        <v>0.15</v>
      </c>
      <c r="C28" s="1">
        <v>0.15</v>
      </c>
      <c r="E28" t="s">
        <v>18</v>
      </c>
    </row>
    <row r="29" spans="1:5" x14ac:dyDescent="0.55000000000000004">
      <c r="A29" t="s">
        <v>64</v>
      </c>
      <c r="B29" s="1">
        <v>0.1</v>
      </c>
      <c r="C29" s="1">
        <v>0.1</v>
      </c>
      <c r="E29" t="s">
        <v>18</v>
      </c>
    </row>
    <row r="30" spans="1:5" x14ac:dyDescent="0.55000000000000004">
      <c r="A30" t="s">
        <v>67</v>
      </c>
      <c r="B30">
        <f>(B29+B28)/B21</f>
        <v>6.3057644831923693E-2</v>
      </c>
      <c r="C30">
        <f>(C29+C28)/C21</f>
        <v>6.3057644831923693E-2</v>
      </c>
    </row>
    <row r="31" spans="1:5" x14ac:dyDescent="0.55000000000000004">
      <c r="A31" s="8" t="s">
        <v>65</v>
      </c>
      <c r="B31">
        <f>2*ACOS(1-2*B30)</f>
        <v>1.0153189370243565</v>
      </c>
      <c r="C31">
        <f>2*ACOS(1-2*C30)</f>
        <v>1.0153189370243565</v>
      </c>
    </row>
    <row r="32" spans="1:5" x14ac:dyDescent="0.55000000000000004">
      <c r="A32" t="s">
        <v>68</v>
      </c>
      <c r="B32">
        <f>(B31-SIN(B31))/2/PI()</f>
        <v>2.6367223443722283E-2</v>
      </c>
      <c r="C32">
        <f>(C31-SIN(C31))/2/PI()</f>
        <v>2.6367223443722283E-2</v>
      </c>
    </row>
    <row r="33" spans="1:12" x14ac:dyDescent="0.55000000000000004">
      <c r="A33" t="s">
        <v>66</v>
      </c>
      <c r="B33">
        <f>B8/B9/60*B10/B27</f>
        <v>2.7954267142750151</v>
      </c>
      <c r="C33">
        <f>B8/B9/60*B10/C27</f>
        <v>2.2062984243057371</v>
      </c>
      <c r="E33" t="s">
        <v>35</v>
      </c>
    </row>
    <row r="34" spans="1:12" x14ac:dyDescent="0.55000000000000004">
      <c r="A34" s="11" t="s">
        <v>91</v>
      </c>
      <c r="B34" s="12">
        <f>B33+B32*B25</f>
        <v>2.847026340959693</v>
      </c>
      <c r="C34" s="12">
        <f>C33+C32*C25</f>
        <v>2.2891334997720953</v>
      </c>
      <c r="E34" t="s">
        <v>35</v>
      </c>
    </row>
    <row r="35" spans="1:12" x14ac:dyDescent="0.55000000000000004">
      <c r="A35" s="11" t="s">
        <v>93</v>
      </c>
      <c r="B35">
        <f>B34-B23</f>
        <v>1.3838375333372273</v>
      </c>
      <c r="C35">
        <f>C34-C23</f>
        <v>-5.9785728686756023E-2</v>
      </c>
    </row>
    <row r="36" spans="1:12" x14ac:dyDescent="0.55000000000000004">
      <c r="B36" t="str">
        <f>IF(B35&gt;0,"increase L or D","sizing is correct")</f>
        <v>increase L or D</v>
      </c>
      <c r="C36" t="str">
        <f>IF(C35&gt;0,"increase L or D","sizing is correct")</f>
        <v>sizing is correct</v>
      </c>
    </row>
    <row r="38" spans="1:12" x14ac:dyDescent="0.55000000000000004">
      <c r="B38" t="s">
        <v>30</v>
      </c>
    </row>
    <row r="39" spans="1:12" x14ac:dyDescent="0.55000000000000004">
      <c r="A39" t="s">
        <v>31</v>
      </c>
      <c r="F39" t="s">
        <v>42</v>
      </c>
      <c r="J39" t="s">
        <v>43</v>
      </c>
    </row>
    <row r="40" spans="1:12" x14ac:dyDescent="0.55000000000000004">
      <c r="A40" t="s">
        <v>32</v>
      </c>
      <c r="B40" s="1">
        <v>10</v>
      </c>
      <c r="C40" t="s">
        <v>33</v>
      </c>
      <c r="F40" s="1">
        <v>8</v>
      </c>
      <c r="G40" t="s">
        <v>33</v>
      </c>
      <c r="J40" s="1">
        <v>10</v>
      </c>
      <c r="K40" t="s">
        <v>33</v>
      </c>
    </row>
    <row r="41" spans="1:12" x14ac:dyDescent="0.55000000000000004">
      <c r="A41" t="s">
        <v>34</v>
      </c>
      <c r="B41">
        <f>PI()/4*(B40*25.4/1000)^2</f>
        <v>5.0670747909749778E-2</v>
      </c>
      <c r="C41" t="s">
        <v>35</v>
      </c>
      <c r="F41">
        <f>PI()/4*(F40*25.4/1000)^2</f>
        <v>3.2429278662239852E-2</v>
      </c>
      <c r="G41" t="s">
        <v>35</v>
      </c>
      <c r="J41">
        <f>PI()/4*(J40*25.4/1000)^2</f>
        <v>5.0670747909749778E-2</v>
      </c>
      <c r="K41" t="s">
        <v>35</v>
      </c>
    </row>
    <row r="42" spans="1:12" x14ac:dyDescent="0.55000000000000004">
      <c r="A42" t="s">
        <v>36</v>
      </c>
      <c r="B42">
        <f>(B6+B8)/(B6/B7+B8/B9)</f>
        <v>120.75333729506063</v>
      </c>
      <c r="C42" t="s">
        <v>5</v>
      </c>
    </row>
    <row r="43" spans="1:12" x14ac:dyDescent="0.55000000000000004">
      <c r="A43" t="s">
        <v>44</v>
      </c>
      <c r="B43">
        <f>((B6+B8)*(1+B11)/B42/3600/B41)</f>
        <v>6.3376238672772871</v>
      </c>
      <c r="F43">
        <f>(B6*(1+B11)/B7/3600/F41)</f>
        <v>8.5418542831187878</v>
      </c>
      <c r="J43">
        <f>B8*(1+B11)/B9/3600/J41</f>
        <v>0.87083712608126462</v>
      </c>
      <c r="K43" t="s">
        <v>13</v>
      </c>
      <c r="L43" t="s">
        <v>86</v>
      </c>
    </row>
    <row r="44" spans="1:12" x14ac:dyDescent="0.55000000000000004">
      <c r="A44" t="s">
        <v>37</v>
      </c>
      <c r="B44">
        <f>B42*((B6+B8)*(1+B11)/B42/3600/B41)^2</f>
        <v>4850.115305227846</v>
      </c>
      <c r="C44" t="s">
        <v>39</v>
      </c>
      <c r="D44" t="s">
        <v>40</v>
      </c>
    </row>
    <row r="45" spans="1:12" x14ac:dyDescent="0.55000000000000004">
      <c r="A45" t="s">
        <v>38</v>
      </c>
      <c r="B45">
        <f>B7*(B6*(1+B11)/B7/3600/B41)^2</f>
        <v>537.94363092689935</v>
      </c>
      <c r="C45" t="s">
        <v>39</v>
      </c>
      <c r="D45" t="s">
        <v>41</v>
      </c>
      <c r="F45">
        <f>B7*(B6*(1+B11)/B7/3600/F41)^2</f>
        <v>1313.3389426926262</v>
      </c>
      <c r="G45" t="s">
        <v>39</v>
      </c>
      <c r="H45" t="s">
        <v>41</v>
      </c>
    </row>
    <row r="48" spans="1:12" x14ac:dyDescent="0.55000000000000004">
      <c r="A48" t="s">
        <v>82</v>
      </c>
      <c r="B48">
        <f>C27+1.5*(B40+F40)*25.4/1000</f>
        <v>6.6858000000000004</v>
      </c>
      <c r="C48" t="s">
        <v>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6"/>
  <sheetViews>
    <sheetView topLeftCell="A49" zoomScale="130" zoomScaleNormal="130" workbookViewId="0">
      <selection activeCell="I54" sqref="I54"/>
    </sheetView>
  </sheetViews>
  <sheetFormatPr defaultRowHeight="14.4" x14ac:dyDescent="0.55000000000000004"/>
  <cols>
    <col min="1" max="1" width="12.7890625" customWidth="1"/>
  </cols>
  <sheetData>
    <row r="3" spans="1:12" x14ac:dyDescent="0.55000000000000004">
      <c r="A3" t="s">
        <v>0</v>
      </c>
      <c r="B3" s="1">
        <v>40</v>
      </c>
      <c r="C3" t="s">
        <v>1</v>
      </c>
    </row>
    <row r="4" spans="1:12" x14ac:dyDescent="0.55000000000000004">
      <c r="A4" t="s">
        <v>2</v>
      </c>
      <c r="B4" s="1">
        <v>50</v>
      </c>
      <c r="C4" t="s">
        <v>3</v>
      </c>
    </row>
    <row r="5" spans="1:12" x14ac:dyDescent="0.55000000000000004">
      <c r="A5" t="s">
        <v>154</v>
      </c>
      <c r="B5" s="1">
        <v>4</v>
      </c>
      <c r="C5" t="s">
        <v>28</v>
      </c>
      <c r="E5" t="s">
        <v>165</v>
      </c>
      <c r="G5" s="1">
        <v>5</v>
      </c>
      <c r="H5" t="s">
        <v>28</v>
      </c>
    </row>
    <row r="6" spans="1:12" x14ac:dyDescent="0.55000000000000004">
      <c r="A6" t="s">
        <v>155</v>
      </c>
      <c r="B6" s="1">
        <v>4</v>
      </c>
      <c r="C6" t="s">
        <v>28</v>
      </c>
      <c r="E6" t="s">
        <v>166</v>
      </c>
      <c r="G6" s="1">
        <v>4</v>
      </c>
      <c r="H6" t="s">
        <v>28</v>
      </c>
    </row>
    <row r="8" spans="1:12" x14ac:dyDescent="0.55000000000000004">
      <c r="A8" t="s">
        <v>96</v>
      </c>
      <c r="B8" s="1">
        <v>4509</v>
      </c>
      <c r="D8" t="s">
        <v>98</v>
      </c>
      <c r="E8" s="1">
        <v>31000</v>
      </c>
      <c r="G8" t="s">
        <v>105</v>
      </c>
      <c r="H8" s="1">
        <v>9955</v>
      </c>
      <c r="I8" t="s">
        <v>4</v>
      </c>
    </row>
    <row r="9" spans="1:12" x14ac:dyDescent="0.55000000000000004">
      <c r="A9" s="8" t="s">
        <v>97</v>
      </c>
      <c r="B9" s="1">
        <v>35</v>
      </c>
      <c r="D9" s="8" t="s">
        <v>99</v>
      </c>
      <c r="E9" s="1">
        <v>728.4</v>
      </c>
      <c r="G9" s="8" t="s">
        <v>101</v>
      </c>
      <c r="H9" s="1">
        <v>988</v>
      </c>
      <c r="I9" t="s">
        <v>5</v>
      </c>
    </row>
    <row r="10" spans="1:12" x14ac:dyDescent="0.55000000000000004">
      <c r="A10" s="8" t="s">
        <v>100</v>
      </c>
      <c r="B10" s="1">
        <v>1.03E-2</v>
      </c>
      <c r="D10" s="8" t="s">
        <v>131</v>
      </c>
      <c r="E10" s="1">
        <v>0.75</v>
      </c>
      <c r="G10" s="8" t="s">
        <v>102</v>
      </c>
      <c r="H10" s="1">
        <v>0.54</v>
      </c>
      <c r="I10" t="s">
        <v>103</v>
      </c>
    </row>
    <row r="12" spans="1:12" x14ac:dyDescent="0.55000000000000004">
      <c r="A12" t="s">
        <v>30</v>
      </c>
    </row>
    <row r="13" spans="1:12" x14ac:dyDescent="0.55000000000000004">
      <c r="A13" t="s">
        <v>31</v>
      </c>
      <c r="E13" t="s">
        <v>109</v>
      </c>
      <c r="H13" t="s">
        <v>104</v>
      </c>
      <c r="K13" t="s">
        <v>110</v>
      </c>
    </row>
    <row r="14" spans="1:12" x14ac:dyDescent="0.55000000000000004">
      <c r="A14" t="s">
        <v>32</v>
      </c>
      <c r="B14" s="1">
        <v>4</v>
      </c>
      <c r="C14" t="s">
        <v>33</v>
      </c>
      <c r="E14" s="1">
        <v>3</v>
      </c>
      <c r="F14" t="s">
        <v>33</v>
      </c>
      <c r="H14" s="1">
        <v>4</v>
      </c>
      <c r="I14" t="s">
        <v>33</v>
      </c>
      <c r="K14" s="1">
        <v>2</v>
      </c>
      <c r="L14" t="s">
        <v>33</v>
      </c>
    </row>
    <row r="15" spans="1:12" x14ac:dyDescent="0.55000000000000004">
      <c r="A15" s="8" t="s">
        <v>107</v>
      </c>
      <c r="B15">
        <f>(B8+E8+H8)/(B8/B9+E8/E9+H8/H9)</f>
        <v>250.54072045876705</v>
      </c>
      <c r="C15" t="s">
        <v>5</v>
      </c>
      <c r="E15">
        <f>B9</f>
        <v>35</v>
      </c>
      <c r="F15" t="s">
        <v>5</v>
      </c>
      <c r="H15">
        <f>E9</f>
        <v>728.4</v>
      </c>
      <c r="I15" t="s">
        <v>5</v>
      </c>
      <c r="K15">
        <f>H9</f>
        <v>988</v>
      </c>
      <c r="L15" t="s">
        <v>5</v>
      </c>
    </row>
    <row r="16" spans="1:12" x14ac:dyDescent="0.55000000000000004">
      <c r="A16" s="8" t="s">
        <v>106</v>
      </c>
      <c r="B16">
        <f>(B8+E8+H8)/B15*1.1/3600</f>
        <v>5.5447185401001624E-2</v>
      </c>
      <c r="C16" t="s">
        <v>16</v>
      </c>
      <c r="E16">
        <f>B8/E15/3600</f>
        <v>3.5785714285714282E-2</v>
      </c>
      <c r="F16" t="s">
        <v>16</v>
      </c>
      <c r="H16">
        <f>E8/H15/3600*1.1</f>
        <v>1.3004149124412718E-2</v>
      </c>
      <c r="I16" t="s">
        <v>16</v>
      </c>
      <c r="K16">
        <f>H8/K15/3600*1.1</f>
        <v>3.0787505623031939E-3</v>
      </c>
      <c r="L16" t="s">
        <v>16</v>
      </c>
    </row>
    <row r="17" spans="1:12" x14ac:dyDescent="0.55000000000000004">
      <c r="A17" s="8" t="s">
        <v>108</v>
      </c>
      <c r="B17">
        <f>B16/(PI()/4*(B14*25.4/1000)^2)</f>
        <v>6.8391512470566873</v>
      </c>
      <c r="C17" t="s">
        <v>13</v>
      </c>
      <c r="E17">
        <f>E16/(PI()/4*(E14*25.4/1000)^2)</f>
        <v>7.8471122693363693</v>
      </c>
      <c r="F17" t="s">
        <v>13</v>
      </c>
      <c r="H17">
        <f>H16/(PI()/4*(H14*25.4/1000)^2)</f>
        <v>1.6040010337392483</v>
      </c>
      <c r="I17" t="s">
        <v>13</v>
      </c>
      <c r="K17">
        <f>K16/(PI()/4*(K14*25.4/1000)^2)</f>
        <v>1.518997986662241</v>
      </c>
      <c r="L17" t="s">
        <v>13</v>
      </c>
    </row>
    <row r="20" spans="1:12" x14ac:dyDescent="0.55000000000000004">
      <c r="A20" t="s">
        <v>111</v>
      </c>
      <c r="B20">
        <f>(E8+H8)/(E8/E9+H8/H9)</f>
        <v>778.09524535641197</v>
      </c>
      <c r="C20" t="s">
        <v>5</v>
      </c>
    </row>
    <row r="21" spans="1:12" x14ac:dyDescent="0.55000000000000004">
      <c r="A21" s="8" t="s">
        <v>112</v>
      </c>
      <c r="B21">
        <f>B20/B9-1</f>
        <v>21.231292724468915</v>
      </c>
    </row>
    <row r="22" spans="1:12" x14ac:dyDescent="0.55000000000000004">
      <c r="A22" s="8" t="s">
        <v>113</v>
      </c>
      <c r="B22">
        <v>0.17</v>
      </c>
      <c r="C22" t="s">
        <v>13</v>
      </c>
    </row>
    <row r="23" spans="1:12" x14ac:dyDescent="0.55000000000000004">
      <c r="A23" s="8" t="s">
        <v>88</v>
      </c>
      <c r="B23" s="1">
        <v>3</v>
      </c>
    </row>
    <row r="24" spans="1:12" x14ac:dyDescent="0.55000000000000004">
      <c r="A24" s="8" t="s">
        <v>114</v>
      </c>
      <c r="B24">
        <f>B22*0.85*B23</f>
        <v>0.43350000000000005</v>
      </c>
      <c r="C24" t="s">
        <v>13</v>
      </c>
    </row>
    <row r="26" spans="1:12" x14ac:dyDescent="0.55000000000000004">
      <c r="A26" t="s">
        <v>79</v>
      </c>
      <c r="B26">
        <f>B8/B9/3600/B24</f>
        <v>8.2550667325753807E-2</v>
      </c>
      <c r="C26" t="s">
        <v>35</v>
      </c>
    </row>
    <row r="27" spans="1:12" x14ac:dyDescent="0.55000000000000004">
      <c r="A27" t="s">
        <v>72</v>
      </c>
      <c r="B27" s="1">
        <v>0.7</v>
      </c>
      <c r="C27" s="1">
        <v>0.7</v>
      </c>
      <c r="D27" s="1">
        <v>0.7</v>
      </c>
    </row>
    <row r="28" spans="1:12" x14ac:dyDescent="0.55000000000000004">
      <c r="A28" t="s">
        <v>115</v>
      </c>
      <c r="B28">
        <f>1-B27</f>
        <v>0.30000000000000004</v>
      </c>
    </row>
    <row r="29" spans="1:12" x14ac:dyDescent="0.55000000000000004">
      <c r="A29" s="8" t="s">
        <v>65</v>
      </c>
      <c r="B29">
        <f>2*ACOS(1-2*B28)</f>
        <v>2.3185589614548174</v>
      </c>
    </row>
    <row r="30" spans="1:12" x14ac:dyDescent="0.55000000000000004">
      <c r="A30" s="8" t="s">
        <v>90</v>
      </c>
      <c r="B30">
        <f>(B29-SIN(B29))/2/PI()</f>
        <v>0.25231578773434554</v>
      </c>
    </row>
    <row r="31" spans="1:12" x14ac:dyDescent="0.55000000000000004">
      <c r="A31" s="8" t="s">
        <v>62</v>
      </c>
      <c r="B31">
        <f>B26/B30</f>
        <v>0.32717202544879403</v>
      </c>
      <c r="F31" t="s">
        <v>35</v>
      </c>
    </row>
    <row r="32" spans="1:12" x14ac:dyDescent="0.55000000000000004">
      <c r="A32" s="8" t="s">
        <v>17</v>
      </c>
      <c r="B32">
        <f>(4*B31/PI())^0.5</f>
        <v>0.64542107242675584</v>
      </c>
      <c r="F32" t="s">
        <v>18</v>
      </c>
    </row>
    <row r="33" spans="1:7" x14ac:dyDescent="0.55000000000000004">
      <c r="A33" s="8" t="s">
        <v>116</v>
      </c>
      <c r="B33" s="14">
        <v>0.65</v>
      </c>
      <c r="C33" s="1">
        <v>1.5</v>
      </c>
      <c r="D33" s="1">
        <v>1.5</v>
      </c>
      <c r="F33" t="s">
        <v>18</v>
      </c>
    </row>
    <row r="34" spans="1:7" x14ac:dyDescent="0.55000000000000004">
      <c r="A34" s="8" t="s">
        <v>61</v>
      </c>
      <c r="B34">
        <f>B33*$B$23</f>
        <v>1.9500000000000002</v>
      </c>
      <c r="C34">
        <f>C33*$B$23</f>
        <v>4.5</v>
      </c>
      <c r="D34">
        <f>D33*$B$23</f>
        <v>4.5</v>
      </c>
      <c r="F34" t="s">
        <v>18</v>
      </c>
      <c r="G34" t="s">
        <v>117</v>
      </c>
    </row>
    <row r="35" spans="1:7" x14ac:dyDescent="0.55000000000000004">
      <c r="A35" s="8" t="s">
        <v>118</v>
      </c>
      <c r="B35" s="2">
        <f>B34+1.5*($B$14+$E$14)*25.4/1000</f>
        <v>2.2167000000000003</v>
      </c>
      <c r="C35">
        <f>C34+1.5*($B$14+$E$14)*25.4/1000</f>
        <v>4.7667000000000002</v>
      </c>
      <c r="D35">
        <f>D34+1.5*($B$14+$E$14)*25.4/1000</f>
        <v>4.7667000000000002</v>
      </c>
      <c r="F35" t="s">
        <v>18</v>
      </c>
      <c r="G35" t="s">
        <v>119</v>
      </c>
    </row>
    <row r="36" spans="1:7" x14ac:dyDescent="0.55000000000000004">
      <c r="A36" s="8" t="s">
        <v>128</v>
      </c>
      <c r="B36" s="1">
        <v>2.2000000000000002</v>
      </c>
      <c r="C36" s="1">
        <v>4.8</v>
      </c>
      <c r="D36" s="1">
        <v>5.55</v>
      </c>
    </row>
    <row r="37" spans="1:7" x14ac:dyDescent="0.55000000000000004">
      <c r="A37" s="8"/>
    </row>
    <row r="38" spans="1:7" x14ac:dyDescent="0.55000000000000004">
      <c r="A38" s="8" t="s">
        <v>62</v>
      </c>
      <c r="B38">
        <f>PI()/4*B33^2</f>
        <v>0.33183072403542191</v>
      </c>
      <c r="C38">
        <f>PI()/4*C33^2</f>
        <v>1.7671458676442586</v>
      </c>
      <c r="D38">
        <f>PI()/4*D33^2</f>
        <v>1.7671458676442586</v>
      </c>
      <c r="F38" t="s">
        <v>35</v>
      </c>
      <c r="G38" t="s">
        <v>122</v>
      </c>
    </row>
    <row r="39" spans="1:7" x14ac:dyDescent="0.55000000000000004">
      <c r="A39" t="s">
        <v>74</v>
      </c>
      <c r="B39">
        <f>B27*B33</f>
        <v>0.45499999999999996</v>
      </c>
      <c r="C39">
        <f>C27*C33</f>
        <v>1.0499999999999998</v>
      </c>
      <c r="D39">
        <f>D27*D33</f>
        <v>1.0499999999999998</v>
      </c>
      <c r="F39" t="s">
        <v>18</v>
      </c>
    </row>
    <row r="40" spans="1:7" x14ac:dyDescent="0.55000000000000004">
      <c r="A40" t="s">
        <v>120</v>
      </c>
      <c r="B40" s="1">
        <v>0.3</v>
      </c>
      <c r="C40" s="1">
        <v>0.64</v>
      </c>
      <c r="D40" s="1">
        <v>0.7</v>
      </c>
      <c r="F40" t="s">
        <v>18</v>
      </c>
    </row>
    <row r="41" spans="1:7" x14ac:dyDescent="0.55000000000000004">
      <c r="A41" s="8" t="s">
        <v>65</v>
      </c>
      <c r="C41">
        <f>2*ACOS(1-2*C27)</f>
        <v>3.9646263457247688</v>
      </c>
      <c r="D41">
        <f>2*ACOS(1-2*D27)</f>
        <v>3.9646263457247688</v>
      </c>
    </row>
    <row r="42" spans="1:7" x14ac:dyDescent="0.55000000000000004">
      <c r="A42" s="8" t="s">
        <v>89</v>
      </c>
      <c r="C42">
        <f>(C41-SIN(C41))/2/PI()</f>
        <v>0.7476842122656544</v>
      </c>
      <c r="D42">
        <f>(D41-SIN(D41))/2/PI()</f>
        <v>0.7476842122656544</v>
      </c>
    </row>
    <row r="43" spans="1:7" x14ac:dyDescent="0.55000000000000004">
      <c r="A43" t="s">
        <v>121</v>
      </c>
      <c r="B43">
        <f>(1-B30)*B38</f>
        <v>0.24810459350596617</v>
      </c>
      <c r="C43">
        <f>C42*C38</f>
        <v>1.3212670660081038</v>
      </c>
      <c r="D43">
        <f>D42*D38</f>
        <v>1.3212670660081038</v>
      </c>
    </row>
    <row r="44" spans="1:7" x14ac:dyDescent="0.55000000000000004">
      <c r="A44" t="s">
        <v>67</v>
      </c>
      <c r="B44">
        <f>B40/B33</f>
        <v>0.46153846153846151</v>
      </c>
      <c r="C44">
        <f>C40/C33</f>
        <v>0.42666666666666669</v>
      </c>
      <c r="D44">
        <f>D40/D33</f>
        <v>0.46666666666666662</v>
      </c>
    </row>
    <row r="45" spans="1:7" x14ac:dyDescent="0.55000000000000004">
      <c r="A45" s="8" t="s">
        <v>65</v>
      </c>
      <c r="B45">
        <f>2*ACOS(1-2*B44)</f>
        <v>2.987594372276146</v>
      </c>
      <c r="C45">
        <f>2*ACOS(1-2*C44)</f>
        <v>2.8471973536354191</v>
      </c>
      <c r="D45">
        <f>2*ACOS(1-2*D44)</f>
        <v>3.0081603567693422</v>
      </c>
    </row>
    <row r="46" spans="1:7" x14ac:dyDescent="0.55000000000000004">
      <c r="A46" s="8" t="s">
        <v>123</v>
      </c>
      <c r="B46">
        <f>(B45-SIN(B45))/2/PI()</f>
        <v>0.4510775858622606</v>
      </c>
      <c r="C46">
        <f>(C45-SIN(C45))/2/PI()</f>
        <v>0.40696494053900806</v>
      </c>
      <c r="D46">
        <f>(D45-SIN(D45))/2/PI()</f>
        <v>0.45759014084762678</v>
      </c>
    </row>
    <row r="47" spans="1:7" x14ac:dyDescent="0.55000000000000004">
      <c r="A47" s="8" t="s">
        <v>124</v>
      </c>
      <c r="B47">
        <f>B46*B38</f>
        <v>0.14968140191282414</v>
      </c>
      <c r="C47">
        <f>C46*C38</f>
        <v>0.71916641294959949</v>
      </c>
      <c r="D47">
        <f>D46*D38</f>
        <v>0.80862852647363792</v>
      </c>
    </row>
    <row r="48" spans="1:7" x14ac:dyDescent="0.55000000000000004">
      <c r="A48" s="8" t="s">
        <v>125</v>
      </c>
      <c r="B48" s="9">
        <f>(B43-B47)*B36</f>
        <v>0.21653102150491249</v>
      </c>
      <c r="C48" s="9">
        <f>(C43-C47)*C36</f>
        <v>2.8900831346808209</v>
      </c>
      <c r="D48" s="9">
        <f>(D43-D47)*D36</f>
        <v>2.8451438944162857</v>
      </c>
      <c r="F48" t="s">
        <v>126</v>
      </c>
      <c r="G48" t="s">
        <v>148</v>
      </c>
    </row>
    <row r="49" spans="1:7" x14ac:dyDescent="0.55000000000000004">
      <c r="A49" s="8" t="s">
        <v>127</v>
      </c>
      <c r="B49">
        <f>$E$8/$E$9/60*$B$5</f>
        <v>2.8372688998718654</v>
      </c>
      <c r="C49">
        <f>$E$8/$E$9/60*$B$5</f>
        <v>2.8372688998718654</v>
      </c>
      <c r="D49">
        <f>$E$8/$E$9/60*$B$5</f>
        <v>2.8372688998718654</v>
      </c>
      <c r="F49" t="s">
        <v>126</v>
      </c>
    </row>
    <row r="51" spans="1:7" x14ac:dyDescent="0.55000000000000004">
      <c r="A51" t="s">
        <v>129</v>
      </c>
      <c r="B51">
        <f>IF(0.5108*(H9-E9)/E10&gt;250,250,0.5108*(H9-E9)/E10)</f>
        <v>176.80490666666671</v>
      </c>
      <c r="F51" t="s">
        <v>132</v>
      </c>
    </row>
    <row r="52" spans="1:7" x14ac:dyDescent="0.55000000000000004">
      <c r="A52" t="s">
        <v>130</v>
      </c>
      <c r="B52">
        <f>IF(0.5108*(H9-E9)/H10&gt;250,250,0.5108*(H9-E9)/H10)</f>
        <v>245.56237037037039</v>
      </c>
      <c r="F52" t="s">
        <v>132</v>
      </c>
    </row>
    <row r="54" spans="1:7" x14ac:dyDescent="0.55000000000000004">
      <c r="A54" t="s">
        <v>133</v>
      </c>
      <c r="C54">
        <f>C40-0.075</f>
        <v>0.56500000000000006</v>
      </c>
      <c r="D54">
        <f>D40-0.075</f>
        <v>0.625</v>
      </c>
      <c r="F54" t="s">
        <v>18</v>
      </c>
    </row>
    <row r="55" spans="1:7" x14ac:dyDescent="0.55000000000000004">
      <c r="A55" t="s">
        <v>136</v>
      </c>
      <c r="C55">
        <f>2/3*C36</f>
        <v>3.1999999999999997</v>
      </c>
      <c r="D55">
        <f>2/3*D36</f>
        <v>3.6999999999999997</v>
      </c>
      <c r="F55" t="s">
        <v>18</v>
      </c>
    </row>
    <row r="57" spans="1:7" x14ac:dyDescent="0.55000000000000004">
      <c r="A57" s="12" t="s">
        <v>145</v>
      </c>
    </row>
    <row r="58" spans="1:7" x14ac:dyDescent="0.55000000000000004">
      <c r="A58" t="s">
        <v>134</v>
      </c>
      <c r="C58">
        <f>($E$8/$E$9+$H$8/$H$9)/60/C43</f>
        <v>0.66394531157979186</v>
      </c>
      <c r="D58">
        <f>($E$8/$E$9+$H$8/$H$9)/60/D43</f>
        <v>0.66394531157979186</v>
      </c>
      <c r="F58" t="s">
        <v>137</v>
      </c>
    </row>
    <row r="59" spans="1:7" x14ac:dyDescent="0.55000000000000004">
      <c r="A59" t="s">
        <v>135</v>
      </c>
      <c r="C59">
        <f>C55*$B$51/1000/C58</f>
        <v>0.85214202354577429</v>
      </c>
      <c r="D59">
        <f>D55*$B$51/1000/D58</f>
        <v>0.98528921472480147</v>
      </c>
      <c r="F59" t="s">
        <v>18</v>
      </c>
    </row>
    <row r="60" spans="1:7" x14ac:dyDescent="0.55000000000000004">
      <c r="A60" t="s">
        <v>138</v>
      </c>
      <c r="C60" s="9">
        <f>C39-C59</f>
        <v>0.19785797645422554</v>
      </c>
      <c r="D60" s="9">
        <f>D39-D59</f>
        <v>6.4710785275198357E-2</v>
      </c>
      <c r="F60" t="s">
        <v>18</v>
      </c>
      <c r="G60" t="s">
        <v>139</v>
      </c>
    </row>
    <row r="62" spans="1:7" x14ac:dyDescent="0.55000000000000004">
      <c r="A62" t="s">
        <v>140</v>
      </c>
      <c r="C62">
        <f>($E$8/$E$9+$H$8/$H$9)/60/C47</f>
        <v>1.2198137427231981</v>
      </c>
      <c r="D62">
        <f>($E$8/$E$9+$H$8/$H$9)/60/D47</f>
        <v>1.084860408828858</v>
      </c>
      <c r="F62" t="s">
        <v>137</v>
      </c>
    </row>
    <row r="63" spans="1:7" x14ac:dyDescent="0.55000000000000004">
      <c r="A63" t="s">
        <v>141</v>
      </c>
      <c r="C63">
        <f>C55*$B$51/1000/C62</f>
        <v>0.46382138642761633</v>
      </c>
      <c r="D63">
        <f>D55*$B$51/1000/D62</f>
        <v>0.60300675491778088</v>
      </c>
      <c r="F63" t="s">
        <v>18</v>
      </c>
    </row>
    <row r="64" spans="1:7" x14ac:dyDescent="0.55000000000000004">
      <c r="A64" t="s">
        <v>142</v>
      </c>
      <c r="C64" s="9">
        <f>C40-C63</f>
        <v>0.17617861357238368</v>
      </c>
      <c r="D64" s="9">
        <f>D40-D63</f>
        <v>9.6993245082219071E-2</v>
      </c>
      <c r="F64" t="s">
        <v>18</v>
      </c>
      <c r="G64" t="s">
        <v>139</v>
      </c>
    </row>
    <row r="66" spans="1:7" x14ac:dyDescent="0.55000000000000004">
      <c r="A66" t="s">
        <v>143</v>
      </c>
      <c r="C66">
        <f>C54-75/1000</f>
        <v>0.49000000000000005</v>
      </c>
      <c r="D66">
        <f>D54-75/1000</f>
        <v>0.55000000000000004</v>
      </c>
      <c r="F66" t="s">
        <v>18</v>
      </c>
    </row>
    <row r="67" spans="1:7" x14ac:dyDescent="0.55000000000000004">
      <c r="A67" t="s">
        <v>144</v>
      </c>
      <c r="C67" s="1">
        <v>0.3</v>
      </c>
      <c r="D67" s="1">
        <v>0.3</v>
      </c>
      <c r="F67" t="s">
        <v>18</v>
      </c>
    </row>
    <row r="69" spans="1:7" x14ac:dyDescent="0.55000000000000004">
      <c r="A69" s="12" t="s">
        <v>146</v>
      </c>
    </row>
    <row r="70" spans="1:7" x14ac:dyDescent="0.55000000000000004">
      <c r="A70" t="s">
        <v>140</v>
      </c>
      <c r="C70">
        <f>($E$8/$E$9+$H$8/$H$9)/60/C47</f>
        <v>1.2198137427231981</v>
      </c>
      <c r="D70">
        <f>($E$8/$E$9+$H$8/$H$9)/60/D47</f>
        <v>1.084860408828858</v>
      </c>
      <c r="F70" t="s">
        <v>18</v>
      </c>
    </row>
    <row r="71" spans="1:7" x14ac:dyDescent="0.55000000000000004">
      <c r="A71" t="s">
        <v>141</v>
      </c>
      <c r="C71" s="9">
        <f>C55*$B$52/1000/C70</f>
        <v>0.64419637003835584</v>
      </c>
      <c r="D71" s="9">
        <f>D55*$B$52/1000/D70</f>
        <v>0.83750938183025103</v>
      </c>
      <c r="F71" t="s">
        <v>18</v>
      </c>
      <c r="G71" t="s">
        <v>147</v>
      </c>
    </row>
    <row r="73" spans="1:7" x14ac:dyDescent="0.55000000000000004">
      <c r="A73" t="s">
        <v>149</v>
      </c>
      <c r="C73">
        <f>C66/C33</f>
        <v>0.32666666666666672</v>
      </c>
      <c r="D73">
        <f>D66/D33</f>
        <v>0.3666666666666667</v>
      </c>
    </row>
    <row r="74" spans="1:7" x14ac:dyDescent="0.55000000000000004">
      <c r="A74" s="8" t="s">
        <v>65</v>
      </c>
      <c r="C74">
        <f>2*ACOS(1-2*C73)</f>
        <v>2.4335625433678763</v>
      </c>
      <c r="D74">
        <f>2*ACOS(1-2*D73)</f>
        <v>2.6017270619229862</v>
      </c>
    </row>
    <row r="75" spans="1:7" x14ac:dyDescent="0.55000000000000004">
      <c r="A75" s="8" t="s">
        <v>150</v>
      </c>
      <c r="C75">
        <f>(C74-SIN(C74))/2/PI()</f>
        <v>0.2838089023666141</v>
      </c>
      <c r="D75">
        <f>(D74-SIN(D74))/2/PI()</f>
        <v>0.33226878661724152</v>
      </c>
    </row>
    <row r="77" spans="1:7" x14ac:dyDescent="0.55000000000000004">
      <c r="A77" t="s">
        <v>151</v>
      </c>
      <c r="C77">
        <f>C67/C33</f>
        <v>0.19999999999999998</v>
      </c>
      <c r="D77">
        <f>D67/D33</f>
        <v>0.19999999999999998</v>
      </c>
    </row>
    <row r="78" spans="1:7" x14ac:dyDescent="0.55000000000000004">
      <c r="A78" s="8" t="s">
        <v>65</v>
      </c>
      <c r="C78">
        <f>2*ACOS(1-2*C77)</f>
        <v>1.8545904360032242</v>
      </c>
      <c r="D78">
        <f>2*ACOS(1-2*D77)</f>
        <v>1.8545904360032242</v>
      </c>
    </row>
    <row r="79" spans="1:7" x14ac:dyDescent="0.55000000000000004">
      <c r="A79" s="8" t="s">
        <v>152</v>
      </c>
      <c r="C79">
        <f>(C78-SIN(C78))/2/PI()</f>
        <v>0.14237848993264696</v>
      </c>
      <c r="D79">
        <f>(D78-SIN(D78))/2/PI()</f>
        <v>0.14237848993264696</v>
      </c>
    </row>
    <row r="81" spans="1:7" x14ac:dyDescent="0.55000000000000004">
      <c r="A81" s="8" t="s">
        <v>153</v>
      </c>
      <c r="C81" s="9">
        <f>(C75-C79)*C38*C55</f>
        <v>0.79977014045410622</v>
      </c>
      <c r="D81" s="9">
        <f>(D75-D79)*D38*D55</f>
        <v>1.241586256440117</v>
      </c>
      <c r="F81" t="s">
        <v>126</v>
      </c>
      <c r="G81" t="s">
        <v>148</v>
      </c>
    </row>
    <row r="82" spans="1:7" x14ac:dyDescent="0.55000000000000004">
      <c r="A82" s="8" t="s">
        <v>127</v>
      </c>
      <c r="C82">
        <f>$H$8/$H$9/60*$B$6</f>
        <v>0.67172739541160598</v>
      </c>
      <c r="D82">
        <f>$H$8/$H$9/60*$B$6</f>
        <v>0.67172739541160598</v>
      </c>
      <c r="F82" t="s">
        <v>126</v>
      </c>
    </row>
    <row r="84" spans="1:7" x14ac:dyDescent="0.55000000000000004">
      <c r="A84" t="s">
        <v>156</v>
      </c>
      <c r="C84">
        <f>(C39+C40)/2</f>
        <v>0.84499999999999997</v>
      </c>
      <c r="D84">
        <f>(D39+D40)/2</f>
        <v>0.87499999999999989</v>
      </c>
      <c r="F84" t="s">
        <v>18</v>
      </c>
    </row>
    <row r="85" spans="1:7" x14ac:dyDescent="0.55000000000000004">
      <c r="A85" t="s">
        <v>158</v>
      </c>
      <c r="C85">
        <f>C84/C33</f>
        <v>0.56333333333333335</v>
      </c>
      <c r="D85">
        <f>D84/D33</f>
        <v>0.58333333333333326</v>
      </c>
    </row>
    <row r="86" spans="1:7" x14ac:dyDescent="0.55000000000000004">
      <c r="A86" s="8" t="s">
        <v>65</v>
      </c>
      <c r="C86">
        <f>2*ACOS(1-2*C85)</f>
        <v>3.3956083573087041</v>
      </c>
      <c r="D86">
        <f>2*ACOS(1-2*D85)</f>
        <v>3.4764888120291717</v>
      </c>
    </row>
    <row r="87" spans="1:7" x14ac:dyDescent="0.55000000000000004">
      <c r="A87" s="8" t="s">
        <v>160</v>
      </c>
      <c r="C87">
        <f>(C86-SIN(C86))/2/PI()</f>
        <v>0.58042234921096292</v>
      </c>
      <c r="D87">
        <f>(D86-SIN(D86))/2/PI()</f>
        <v>0.60561000910513207</v>
      </c>
    </row>
    <row r="89" spans="1:7" x14ac:dyDescent="0.55000000000000004">
      <c r="A89" t="s">
        <v>157</v>
      </c>
      <c r="C89">
        <f>(C66+C67)/2</f>
        <v>0.39500000000000002</v>
      </c>
      <c r="D89">
        <f>(D66+D67)/2</f>
        <v>0.42500000000000004</v>
      </c>
      <c r="F89" t="s">
        <v>18</v>
      </c>
    </row>
    <row r="90" spans="1:7" x14ac:dyDescent="0.55000000000000004">
      <c r="A90" t="s">
        <v>161</v>
      </c>
      <c r="C90">
        <f>C89/C33</f>
        <v>0.26333333333333336</v>
      </c>
      <c r="D90">
        <f>D89/D33</f>
        <v>0.28333333333333338</v>
      </c>
    </row>
    <row r="91" spans="1:7" x14ac:dyDescent="0.55000000000000004">
      <c r="A91" s="8" t="s">
        <v>65</v>
      </c>
      <c r="C91">
        <f>2*ACOS(1-2*C90)</f>
        <v>2.1554505980619254</v>
      </c>
      <c r="D91">
        <f>2*ACOS(1-2*D90)</f>
        <v>2.2452163816309305</v>
      </c>
    </row>
    <row r="92" spans="1:7" x14ac:dyDescent="0.55000000000000004">
      <c r="A92" s="8" t="s">
        <v>159</v>
      </c>
      <c r="C92">
        <f>(C91-SIN(C91))/2/PI()</f>
        <v>0.2103308411582131</v>
      </c>
      <c r="D92">
        <f>(D91-SIN(D91))/2/PI()</f>
        <v>0.23302625723278148</v>
      </c>
    </row>
    <row r="94" spans="1:7" x14ac:dyDescent="0.55000000000000004">
      <c r="A94" s="8" t="s">
        <v>163</v>
      </c>
      <c r="C94">
        <f>C87*C38*C36</f>
        <v>4.9233165883033241</v>
      </c>
      <c r="D94">
        <f>D87*D38*D36</f>
        <v>5.939616798717454</v>
      </c>
      <c r="F94" t="s">
        <v>126</v>
      </c>
    </row>
    <row r="95" spans="1:7" x14ac:dyDescent="0.55000000000000004">
      <c r="A95" s="8" t="s">
        <v>164</v>
      </c>
      <c r="C95">
        <f>C92*C38*C55</f>
        <v>1.1893928857308069</v>
      </c>
      <c r="D95">
        <f>D92*D38*D55</f>
        <v>1.5236281338296158</v>
      </c>
      <c r="F95" t="s">
        <v>126</v>
      </c>
    </row>
    <row r="96" spans="1:7" x14ac:dyDescent="0.55000000000000004">
      <c r="A96" s="8" t="s">
        <v>162</v>
      </c>
      <c r="C96" s="9">
        <f>C94-C95</f>
        <v>3.7339237025725174</v>
      </c>
      <c r="D96" s="9">
        <f>D94-D95</f>
        <v>4.4159886648878377</v>
      </c>
      <c r="F96" t="s">
        <v>126</v>
      </c>
      <c r="G96" t="s">
        <v>148</v>
      </c>
    </row>
    <row r="97" spans="1:7" x14ac:dyDescent="0.55000000000000004">
      <c r="A97" s="8" t="s">
        <v>127</v>
      </c>
      <c r="C97">
        <f>$E$8/$E$9/60*$G$5</f>
        <v>3.5465861248398318</v>
      </c>
      <c r="D97">
        <f>$E$8/$E$9/60*$G$5</f>
        <v>3.5465861248398318</v>
      </c>
      <c r="F97" t="s">
        <v>126</v>
      </c>
    </row>
    <row r="98" spans="1:7" x14ac:dyDescent="0.55000000000000004">
      <c r="A98" s="8" t="s">
        <v>171</v>
      </c>
      <c r="C98">
        <f>C96/($E$8/$E$9/60)</f>
        <v>5.2641097257170744</v>
      </c>
      <c r="D98">
        <f>D96/($E$8/$E$9/60)</f>
        <v>6.2256893100083239</v>
      </c>
      <c r="F98" t="s">
        <v>28</v>
      </c>
    </row>
    <row r="100" spans="1:7" x14ac:dyDescent="0.55000000000000004">
      <c r="A100" t="s">
        <v>167</v>
      </c>
      <c r="C100" s="1">
        <v>0.1</v>
      </c>
      <c r="D100" s="1">
        <v>0.1</v>
      </c>
      <c r="F100" t="s">
        <v>18</v>
      </c>
    </row>
    <row r="101" spans="1:7" x14ac:dyDescent="0.55000000000000004">
      <c r="A101" t="s">
        <v>168</v>
      </c>
      <c r="C101">
        <f>C100/C33</f>
        <v>6.6666666666666666E-2</v>
      </c>
      <c r="D101">
        <f>D100/D33</f>
        <v>6.6666666666666666E-2</v>
      </c>
    </row>
    <row r="102" spans="1:7" x14ac:dyDescent="0.55000000000000004">
      <c r="A102" s="8" t="s">
        <v>65</v>
      </c>
      <c r="C102">
        <f>2*ACOS(1-2*C101)</f>
        <v>1.044629643612097</v>
      </c>
      <c r="D102">
        <f>2*ACOS(1-2*D101)</f>
        <v>1.044629643612097</v>
      </c>
    </row>
    <row r="103" spans="1:7" x14ac:dyDescent="0.55000000000000004">
      <c r="A103" s="8" t="s">
        <v>169</v>
      </c>
      <c r="C103">
        <f>(C102-SIN(C102))/2/PI()</f>
        <v>2.8630549436783229E-2</v>
      </c>
      <c r="D103">
        <f>(D102-SIN(D102))/2/PI()</f>
        <v>2.8630549436783229E-2</v>
      </c>
    </row>
    <row r="104" spans="1:7" x14ac:dyDescent="0.55000000000000004">
      <c r="A104" s="8" t="s">
        <v>170</v>
      </c>
      <c r="C104">
        <f>(C92-C103)*C38*C55</f>
        <v>1.0274909429288994</v>
      </c>
      <c r="D104">
        <f>(D92-D103)*D38*D55</f>
        <v>1.3364290124649101</v>
      </c>
      <c r="F104" t="s">
        <v>126</v>
      </c>
      <c r="G104" t="s">
        <v>148</v>
      </c>
    </row>
    <row r="105" spans="1:7" x14ac:dyDescent="0.55000000000000004">
      <c r="A105" s="8" t="s">
        <v>127</v>
      </c>
      <c r="C105">
        <f>$H$8/$H$9/60*$G$6</f>
        <v>0.67172739541160598</v>
      </c>
      <c r="D105">
        <f>$H$8/$H$9/60*$G$6</f>
        <v>0.67172739541160598</v>
      </c>
      <c r="F105" t="s">
        <v>126</v>
      </c>
    </row>
    <row r="106" spans="1:7" x14ac:dyDescent="0.55000000000000004">
      <c r="A106" s="8" t="s">
        <v>172</v>
      </c>
      <c r="C106">
        <f>C104/($H$8/$H$9/60)</f>
        <v>6.1184995576921297</v>
      </c>
      <c r="D106">
        <f>D104/($H$8/$H$9/60)</f>
        <v>7.9581629190276111</v>
      </c>
      <c r="F106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"/>
  <sheetViews>
    <sheetView workbookViewId="0">
      <selection activeCell="I20" sqref="I20"/>
    </sheetView>
  </sheetViews>
  <sheetFormatPr defaultRowHeight="14.4" x14ac:dyDescent="0.55000000000000004"/>
  <cols>
    <col min="6" max="6" width="12" bestFit="1" customWidth="1"/>
    <col min="11" max="11" width="8.83984375" style="16"/>
    <col min="18" max="18" width="8.83984375" style="16"/>
  </cols>
  <sheetData>
    <row r="2" spans="1:26" x14ac:dyDescent="0.55000000000000004">
      <c r="B2" s="21" t="s">
        <v>182</v>
      </c>
      <c r="C2" s="21"/>
      <c r="D2" s="19"/>
      <c r="E2" s="19"/>
      <c r="F2" s="19"/>
      <c r="G2" s="19"/>
      <c r="I2" s="21" t="s">
        <v>185</v>
      </c>
      <c r="J2" s="21"/>
      <c r="K2" s="23"/>
      <c r="L2" s="19"/>
      <c r="M2" s="19"/>
      <c r="N2" s="19"/>
      <c r="P2" s="21" t="s">
        <v>186</v>
      </c>
      <c r="Q2" s="21"/>
      <c r="V2" s="21" t="s">
        <v>190</v>
      </c>
      <c r="W2" s="21"/>
      <c r="X2" s="21" t="s">
        <v>197</v>
      </c>
      <c r="Y2" s="21"/>
      <c r="Z2" s="21"/>
    </row>
    <row r="3" spans="1:26" x14ac:dyDescent="0.55000000000000004">
      <c r="B3" t="s">
        <v>180</v>
      </c>
      <c r="C3" t="s">
        <v>181</v>
      </c>
      <c r="D3" s="16" t="s">
        <v>196</v>
      </c>
      <c r="E3" s="8" t="s">
        <v>183</v>
      </c>
      <c r="F3" s="8" t="s">
        <v>198</v>
      </c>
      <c r="G3" s="8" t="s">
        <v>65</v>
      </c>
      <c r="I3" t="s">
        <v>180</v>
      </c>
      <c r="J3" t="s">
        <v>181</v>
      </c>
      <c r="K3" s="16" t="s">
        <v>196</v>
      </c>
      <c r="L3" s="8" t="s">
        <v>183</v>
      </c>
      <c r="M3" s="8" t="s">
        <v>199</v>
      </c>
      <c r="N3" s="8"/>
      <c r="P3" t="s">
        <v>180</v>
      </c>
      <c r="Q3" t="s">
        <v>181</v>
      </c>
      <c r="R3" s="16" t="s">
        <v>196</v>
      </c>
      <c r="S3" s="8" t="s">
        <v>183</v>
      </c>
      <c r="U3" t="s">
        <v>184</v>
      </c>
      <c r="V3" s="8" t="s">
        <v>191</v>
      </c>
      <c r="W3" s="8" t="s">
        <v>187</v>
      </c>
      <c r="X3" s="8" t="s">
        <v>188</v>
      </c>
      <c r="Y3" s="8" t="s">
        <v>189</v>
      </c>
      <c r="Z3" s="8" t="s">
        <v>187</v>
      </c>
    </row>
    <row r="4" spans="1:26" x14ac:dyDescent="0.55000000000000004">
      <c r="A4" t="s">
        <v>173</v>
      </c>
      <c r="B4" s="10">
        <v>2.07E-2</v>
      </c>
      <c r="C4" s="16">
        <f>B4*$C$12</f>
        <v>21.503159999999998</v>
      </c>
      <c r="D4" s="16">
        <f>(K4+R4)/2</f>
        <v>2.9056500000000001</v>
      </c>
      <c r="E4" s="16">
        <f>D4/$D$10</f>
        <v>13.612853655908438</v>
      </c>
      <c r="F4" s="16">
        <f>B4*E4/(E4-$G$4)</f>
        <v>3.1676779494328136E-2</v>
      </c>
      <c r="G4" s="16">
        <v>4.7171870137941534</v>
      </c>
      <c r="I4" s="15">
        <f>J4/$J$12</f>
        <v>4.1179952789537622E-2</v>
      </c>
      <c r="J4" s="16">
        <f>C4</f>
        <v>21.503159999999998</v>
      </c>
      <c r="K4" s="25">
        <v>2.2183000000000002</v>
      </c>
      <c r="L4" s="16"/>
      <c r="M4" s="16">
        <f>I4*E4/(E4-$G$4)</f>
        <v>6.3016825318890163E-2</v>
      </c>
      <c r="N4" s="16"/>
      <c r="P4" s="15">
        <f>Q4/$Q$12</f>
        <v>0</v>
      </c>
      <c r="Q4" s="16">
        <f>C4-J4</f>
        <v>0</v>
      </c>
      <c r="R4" s="25">
        <v>3.593</v>
      </c>
      <c r="U4">
        <f>(I5/P5)*(P6/I6)</f>
        <v>940.63679230768957</v>
      </c>
      <c r="V4">
        <f>(L5+S5)/2</f>
        <v>1.7725638340237877</v>
      </c>
      <c r="W4" s="18">
        <f>LOG(U4)/LOG(V4)</f>
        <v>11.960576940426272</v>
      </c>
      <c r="X4">
        <f>LN(K5/R5)/LN(K6/R6)</f>
        <v>0.75303329353217996</v>
      </c>
      <c r="Y4">
        <f>K5/K6^X4</f>
        <v>1.6576209685660563</v>
      </c>
      <c r="Z4">
        <f>LOG((I5/P5)*(P6/I6)^X4*(Q12/J12)^(1-X4))/LOG(Y4)</f>
        <v>12.092910899896195</v>
      </c>
    </row>
    <row r="5" spans="1:26" x14ac:dyDescent="0.55000000000000004">
      <c r="A5" s="12" t="s">
        <v>174</v>
      </c>
      <c r="B5" s="10">
        <v>0.48670000000000002</v>
      </c>
      <c r="C5" s="16">
        <f t="shared" ref="C5:C10" si="0">B5*$C$12</f>
        <v>505.58395999999999</v>
      </c>
      <c r="D5" s="16">
        <f t="shared" ref="D5:D10" si="1">(K5+R5)/2</f>
        <v>1.47895</v>
      </c>
      <c r="E5" s="16">
        <f t="shared" ref="E5:E10" si="2">D5/$D$10</f>
        <v>6.928821404644669</v>
      </c>
      <c r="F5" s="16">
        <f t="shared" ref="F5:F10" si="3">B5*E5/(E5-$G$4)</f>
        <v>1.5247806742341852</v>
      </c>
      <c r="G5" s="16"/>
      <c r="I5" s="15">
        <f t="shared" ref="I5:I10" si="4">J5/$J$12</f>
        <v>0.94886170831954597</v>
      </c>
      <c r="J5" s="16">
        <f>C5*0.98</f>
        <v>495.47228079999996</v>
      </c>
      <c r="K5" s="25">
        <v>0.9526</v>
      </c>
      <c r="L5" s="16">
        <f>K5/K6</f>
        <v>1.9878550113728843</v>
      </c>
      <c r="M5" s="16">
        <f t="shared" ref="M5:M10" si="5">I5*E5/(E5-$G$4)</f>
        <v>2.9726854229843394</v>
      </c>
      <c r="N5" s="16"/>
      <c r="P5" s="15">
        <f t="shared" ref="P5:P10" si="6">Q5/$Q$12</f>
        <v>1.9572587133019955E-2</v>
      </c>
      <c r="Q5" s="16">
        <f>C5-J5</f>
        <v>10.111679200000026</v>
      </c>
      <c r="R5" s="25">
        <v>2.0053000000000001</v>
      </c>
      <c r="S5" s="16">
        <f>R5/R6</f>
        <v>1.5572726566746913</v>
      </c>
    </row>
    <row r="6" spans="1:26" x14ac:dyDescent="0.55000000000000004">
      <c r="A6" s="22" t="s">
        <v>175</v>
      </c>
      <c r="B6" s="10">
        <v>0.1011</v>
      </c>
      <c r="C6" s="16">
        <f t="shared" si="0"/>
        <v>105.02267999999999</v>
      </c>
      <c r="D6" s="16">
        <f t="shared" si="1"/>
        <v>0.8834550000000001</v>
      </c>
      <c r="E6" s="16">
        <f t="shared" si="2"/>
        <v>4.1389512248827591</v>
      </c>
      <c r="F6" s="16">
        <f t="shared" si="3"/>
        <v>-0.72366321293158087</v>
      </c>
      <c r="G6" s="16"/>
      <c r="I6" s="15">
        <f t="shared" si="4"/>
        <v>9.9583388909162962E-3</v>
      </c>
      <c r="J6">
        <v>5.2</v>
      </c>
      <c r="K6" s="25">
        <v>0.47921000000000002</v>
      </c>
      <c r="L6" s="17"/>
      <c r="M6" s="16">
        <f t="shared" si="5"/>
        <v>-7.1280746956102883E-2</v>
      </c>
      <c r="N6" s="17"/>
      <c r="P6" s="15">
        <f t="shared" si="6"/>
        <v>0.19322093427880535</v>
      </c>
      <c r="Q6" s="16">
        <f>C6-J6</f>
        <v>99.822679999999991</v>
      </c>
      <c r="R6" s="25">
        <v>1.2877000000000001</v>
      </c>
    </row>
    <row r="7" spans="1:26" x14ac:dyDescent="0.55000000000000004">
      <c r="A7" t="s">
        <v>176</v>
      </c>
      <c r="B7" s="10">
        <v>0.24079999999999999</v>
      </c>
      <c r="C7" s="16">
        <f t="shared" si="0"/>
        <v>250.14303999999998</v>
      </c>
      <c r="D7" s="16">
        <f t="shared" si="1"/>
        <v>0.75870000000000004</v>
      </c>
      <c r="E7" s="16">
        <f t="shared" si="2"/>
        <v>3.5544790558868864</v>
      </c>
      <c r="F7" s="16">
        <f t="shared" si="3"/>
        <v>-0.73614233981688026</v>
      </c>
      <c r="G7" s="16"/>
      <c r="I7" s="15">
        <f t="shared" si="4"/>
        <v>0</v>
      </c>
      <c r="J7">
        <v>0</v>
      </c>
      <c r="K7" s="25">
        <v>0.4073</v>
      </c>
      <c r="L7" s="17"/>
      <c r="M7" s="16">
        <f t="shared" si="5"/>
        <v>0</v>
      </c>
      <c r="N7" s="17"/>
      <c r="P7" s="15">
        <f t="shared" si="6"/>
        <v>0.48418727980595772</v>
      </c>
      <c r="Q7" s="16">
        <f>C7-J7</f>
        <v>250.14303999999998</v>
      </c>
      <c r="R7" s="25">
        <v>1.1101000000000001</v>
      </c>
    </row>
    <row r="8" spans="1:26" x14ac:dyDescent="0.55000000000000004">
      <c r="A8" t="s">
        <v>177</v>
      </c>
      <c r="B8" s="10">
        <v>5.4100000000000002E-2</v>
      </c>
      <c r="C8" s="16">
        <f t="shared" si="0"/>
        <v>56.199080000000002</v>
      </c>
      <c r="D8" s="16">
        <f t="shared" si="1"/>
        <v>0.46563499999999997</v>
      </c>
      <c r="E8" s="16">
        <f t="shared" si="2"/>
        <v>2.1814812906127456</v>
      </c>
      <c r="F8" s="16">
        <f t="shared" si="3"/>
        <v>-4.6542521375106095E-2</v>
      </c>
      <c r="G8" s="16"/>
      <c r="I8" s="15">
        <f t="shared" si="4"/>
        <v>0</v>
      </c>
      <c r="J8">
        <v>0</v>
      </c>
      <c r="K8" s="25">
        <v>0.22575999999999999</v>
      </c>
      <c r="L8" s="17"/>
      <c r="M8" s="16">
        <f t="shared" si="5"/>
        <v>0</v>
      </c>
      <c r="N8" s="17"/>
      <c r="P8" s="15">
        <f t="shared" si="6"/>
        <v>0.10878127839494317</v>
      </c>
      <c r="Q8" s="16">
        <f>C8-J8</f>
        <v>56.199080000000002</v>
      </c>
      <c r="R8" s="25">
        <v>0.70550999999999997</v>
      </c>
    </row>
    <row r="9" spans="1:26" x14ac:dyDescent="0.55000000000000004">
      <c r="A9" t="s">
        <v>178</v>
      </c>
      <c r="B9" s="10">
        <v>4.8099999999999997E-2</v>
      </c>
      <c r="C9" s="16">
        <f t="shared" si="0"/>
        <v>49.966279999999998</v>
      </c>
      <c r="D9" s="16">
        <f t="shared" si="1"/>
        <v>0.43462000000000001</v>
      </c>
      <c r="E9" s="16">
        <f t="shared" si="2"/>
        <v>2.0361772601417667</v>
      </c>
      <c r="F9" s="16">
        <f t="shared" si="3"/>
        <v>-3.6531059269513444E-2</v>
      </c>
      <c r="G9" s="16"/>
      <c r="I9" s="15">
        <f t="shared" si="4"/>
        <v>0</v>
      </c>
      <c r="J9">
        <v>0</v>
      </c>
      <c r="K9" s="25">
        <v>0.21146999999999999</v>
      </c>
      <c r="L9" s="17"/>
      <c r="M9" s="16">
        <f t="shared" si="5"/>
        <v>0</v>
      </c>
      <c r="N9" s="17"/>
      <c r="P9" s="15">
        <f t="shared" si="6"/>
        <v>9.6716811290143548E-2</v>
      </c>
      <c r="Q9" s="16">
        <f>C9-J9</f>
        <v>49.966279999999998</v>
      </c>
      <c r="R9" s="25">
        <v>0.65776999999999997</v>
      </c>
    </row>
    <row r="10" spans="1:26" x14ac:dyDescent="0.55000000000000004">
      <c r="A10" t="s">
        <v>179</v>
      </c>
      <c r="B10" s="10">
        <v>4.8500000000000001E-2</v>
      </c>
      <c r="C10" s="16">
        <f t="shared" si="0"/>
        <v>50.381799999999998</v>
      </c>
      <c r="D10" s="16">
        <f t="shared" si="1"/>
        <v>0.213449</v>
      </c>
      <c r="E10" s="16">
        <f t="shared" si="2"/>
        <v>1</v>
      </c>
      <c r="F10" s="16">
        <f t="shared" si="3"/>
        <v>-1.3047500655743382E-2</v>
      </c>
      <c r="G10" s="16"/>
      <c r="I10" s="15">
        <f t="shared" si="4"/>
        <v>0</v>
      </c>
      <c r="J10">
        <v>0</v>
      </c>
      <c r="K10" s="25">
        <v>7.7357999999999996E-2</v>
      </c>
      <c r="L10" s="17"/>
      <c r="M10" s="16">
        <f t="shared" si="5"/>
        <v>0</v>
      </c>
      <c r="N10" s="17"/>
      <c r="P10" s="15">
        <f t="shared" si="6"/>
        <v>9.7521109097130187E-2</v>
      </c>
      <c r="Q10" s="16">
        <f>C10-J10</f>
        <v>50.381799999999998</v>
      </c>
      <c r="R10" s="25">
        <v>0.34954000000000002</v>
      </c>
    </row>
    <row r="11" spans="1:26" x14ac:dyDescent="0.55000000000000004">
      <c r="I11" s="15"/>
    </row>
    <row r="12" spans="1:26" x14ac:dyDescent="0.55000000000000004">
      <c r="B12" s="15">
        <f>SUM(B4:B11)</f>
        <v>1.0000000000000002</v>
      </c>
      <c r="C12" s="1">
        <v>1038.8</v>
      </c>
      <c r="F12" s="16">
        <f>SUM(F4:F11)</f>
        <v>5.3081967968935349E-4</v>
      </c>
      <c r="G12" t="s">
        <v>204</v>
      </c>
      <c r="I12" s="15">
        <f>SUM(I4:I11)</f>
        <v>1</v>
      </c>
      <c r="J12" s="16">
        <f>SUM(J4:J11)</f>
        <v>522.17544080000005</v>
      </c>
      <c r="L12" s="16"/>
      <c r="M12" s="16">
        <f>SUM(M4:M11)</f>
        <v>2.9644215013471267</v>
      </c>
      <c r="N12" s="16"/>
      <c r="P12" s="15">
        <f>SUM(P4:P11)</f>
        <v>1</v>
      </c>
      <c r="Q12" s="16">
        <f>SUM(Q4:Q11)</f>
        <v>516.62455920000002</v>
      </c>
    </row>
    <row r="14" spans="1:26" x14ac:dyDescent="0.55000000000000004">
      <c r="M14" t="s">
        <v>200</v>
      </c>
      <c r="N14" t="s">
        <v>201</v>
      </c>
      <c r="O14" t="s">
        <v>192</v>
      </c>
      <c r="P14" t="s">
        <v>202</v>
      </c>
      <c r="Q14" t="s">
        <v>193</v>
      </c>
      <c r="R14" s="16" t="s">
        <v>194</v>
      </c>
      <c r="S14" t="s">
        <v>195</v>
      </c>
      <c r="T14" t="s">
        <v>203</v>
      </c>
    </row>
    <row r="15" spans="1:26" x14ac:dyDescent="0.55000000000000004">
      <c r="M15" s="16">
        <f>M12-1</f>
        <v>1.9644215013471267</v>
      </c>
      <c r="N15" s="1">
        <v>1.3</v>
      </c>
      <c r="O15" s="16">
        <f>N15*M15</f>
        <v>2.5537479517512649</v>
      </c>
      <c r="P15" s="16">
        <f>M15/(M15+1)</f>
        <v>0.66266605489618513</v>
      </c>
      <c r="Q15" s="16">
        <f>O15/(O15+1)</f>
        <v>0.71860694298614902</v>
      </c>
      <c r="R15" s="24">
        <v>0.53</v>
      </c>
      <c r="S15" s="3">
        <f>ROUNDUP(Z4/R15,0)</f>
        <v>23</v>
      </c>
      <c r="T15" s="3">
        <f>S15-2</f>
        <v>21</v>
      </c>
    </row>
  </sheetData>
  <mergeCells count="5">
    <mergeCell ref="X2:Z2"/>
    <mergeCell ref="V2:W2"/>
    <mergeCell ref="B2:C2"/>
    <mergeCell ref="I2:J2"/>
    <mergeCell ref="P2:Q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6"/>
  <sheetViews>
    <sheetView tabSelected="1" workbookViewId="0">
      <selection activeCell="E11" sqref="E11"/>
    </sheetView>
  </sheetViews>
  <sheetFormatPr defaultRowHeight="14.4" x14ac:dyDescent="0.55000000000000004"/>
  <cols>
    <col min="2" max="2" width="9.20703125" bestFit="1" customWidth="1"/>
    <col min="3" max="3" width="10.15625" bestFit="1" customWidth="1"/>
    <col min="6" max="7" width="12.578125" bestFit="1" customWidth="1"/>
  </cols>
  <sheetData>
    <row r="4" spans="2:7" x14ac:dyDescent="0.55000000000000004">
      <c r="B4" t="s">
        <v>205</v>
      </c>
      <c r="C4" t="s">
        <v>206</v>
      </c>
      <c r="D4" t="s">
        <v>207</v>
      </c>
      <c r="F4" t="s">
        <v>208</v>
      </c>
      <c r="G4" t="s">
        <v>209</v>
      </c>
    </row>
    <row r="5" spans="2:7" x14ac:dyDescent="0.55000000000000004">
      <c r="B5" s="1">
        <v>18</v>
      </c>
      <c r="C5" s="1">
        <v>40</v>
      </c>
      <c r="D5" s="20">
        <v>18.440000000000001</v>
      </c>
      <c r="F5" s="15">
        <f>(D6-D5)/D5</f>
        <v>2.5488069414315098E-3</v>
      </c>
      <c r="G5" s="15">
        <f>F5/(C5-C6)</f>
        <v>1.2744034707157549E-3</v>
      </c>
    </row>
    <row r="6" spans="2:7" x14ac:dyDescent="0.55000000000000004">
      <c r="B6" s="1">
        <v>16</v>
      </c>
      <c r="C6" s="1">
        <v>38</v>
      </c>
      <c r="D6" s="20">
        <v>18.486999999999998</v>
      </c>
      <c r="F6" s="15">
        <f t="shared" ref="F6:F15" si="0">(D7-D6)/D6</f>
        <v>3.8946286579760229E-3</v>
      </c>
      <c r="G6" s="15">
        <f t="shared" ref="G6:G15" si="1">F6/(C6-C7)</f>
        <v>1.9473143289880114E-3</v>
      </c>
    </row>
    <row r="7" spans="2:7" x14ac:dyDescent="0.55000000000000004">
      <c r="B7" s="1">
        <v>16</v>
      </c>
      <c r="C7" s="1">
        <v>36</v>
      </c>
      <c r="D7" s="20">
        <v>18.559000000000001</v>
      </c>
      <c r="F7" s="15">
        <f t="shared" si="0"/>
        <v>7.5973921008674079E-3</v>
      </c>
      <c r="G7" s="15">
        <f t="shared" si="1"/>
        <v>3.7986960504337039E-3</v>
      </c>
    </row>
    <row r="8" spans="2:7" x14ac:dyDescent="0.55000000000000004">
      <c r="B8" s="1">
        <v>14</v>
      </c>
      <c r="C8" s="1">
        <v>34</v>
      </c>
      <c r="D8" s="20">
        <v>18.7</v>
      </c>
      <c r="F8" s="15">
        <f t="shared" si="0"/>
        <v>9.625668449197846E-3</v>
      </c>
      <c r="G8" s="15">
        <f t="shared" si="1"/>
        <v>4.812834224598923E-3</v>
      </c>
    </row>
    <row r="9" spans="2:7" x14ac:dyDescent="0.55000000000000004">
      <c r="B9" s="1">
        <v>13</v>
      </c>
      <c r="C9" s="1">
        <v>32</v>
      </c>
      <c r="D9" s="20">
        <v>18.88</v>
      </c>
      <c r="F9" s="15">
        <f t="shared" si="0"/>
        <v>1.1493644067796733E-2</v>
      </c>
      <c r="G9" s="15">
        <f t="shared" si="1"/>
        <v>5.7468220338983663E-3</v>
      </c>
    </row>
    <row r="10" spans="2:7" x14ac:dyDescent="0.55000000000000004">
      <c r="B10" s="1">
        <v>12</v>
      </c>
      <c r="C10" s="1">
        <v>30</v>
      </c>
      <c r="D10" s="20">
        <v>19.097000000000001</v>
      </c>
      <c r="F10" s="15">
        <f t="shared" si="0"/>
        <v>2.4715923967115135E-2</v>
      </c>
      <c r="G10" s="15">
        <f t="shared" si="1"/>
        <v>1.2357961983557568E-2</v>
      </c>
    </row>
    <row r="11" spans="2:7" x14ac:dyDescent="0.55000000000000004">
      <c r="B11" s="1">
        <v>11</v>
      </c>
      <c r="C11" s="1">
        <v>28</v>
      </c>
      <c r="D11" s="20">
        <v>19.568999999999999</v>
      </c>
      <c r="F11" s="15">
        <f t="shared" si="0"/>
        <v>3.1580561091522415E-2</v>
      </c>
      <c r="G11" s="15">
        <f t="shared" si="1"/>
        <v>1.5790280545761207E-2</v>
      </c>
    </row>
    <row r="12" spans="2:7" x14ac:dyDescent="0.55000000000000004">
      <c r="B12" s="1">
        <v>10</v>
      </c>
      <c r="C12" s="1">
        <v>26</v>
      </c>
      <c r="D12" s="20">
        <v>20.187000000000001</v>
      </c>
      <c r="F12" s="15">
        <f t="shared" si="0"/>
        <v>5.1072472383216862E-2</v>
      </c>
      <c r="G12" s="15">
        <f t="shared" si="1"/>
        <v>2.5536236191608431E-2</v>
      </c>
    </row>
    <row r="13" spans="2:7" x14ac:dyDescent="0.55000000000000004">
      <c r="B13" s="1">
        <v>9</v>
      </c>
      <c r="C13" s="1">
        <v>24</v>
      </c>
      <c r="D13" s="20">
        <v>21.218</v>
      </c>
      <c r="F13" s="15">
        <f t="shared" si="0"/>
        <v>8.7991328117636006E-2</v>
      </c>
      <c r="G13" s="15">
        <f t="shared" si="1"/>
        <v>4.3995664058818003E-2</v>
      </c>
    </row>
    <row r="14" spans="2:7" x14ac:dyDescent="0.55000000000000004">
      <c r="B14" s="1">
        <v>8</v>
      </c>
      <c r="C14" s="1">
        <v>22</v>
      </c>
      <c r="D14" s="20">
        <v>23.085000000000001</v>
      </c>
      <c r="F14" s="15">
        <f t="shared" si="0"/>
        <v>0.12159410872861159</v>
      </c>
      <c r="G14" s="15">
        <f t="shared" si="1"/>
        <v>6.0797054364305797E-2</v>
      </c>
    </row>
    <row r="15" spans="2:7" x14ac:dyDescent="0.55000000000000004">
      <c r="B15" s="1">
        <v>7</v>
      </c>
      <c r="C15" s="1">
        <v>20</v>
      </c>
      <c r="D15" s="20">
        <v>25.891999999999999</v>
      </c>
      <c r="F15" s="15">
        <f t="shared" si="0"/>
        <v>0.24416808280549973</v>
      </c>
      <c r="G15" s="15">
        <f t="shared" si="1"/>
        <v>0.12208404140274987</v>
      </c>
    </row>
    <row r="16" spans="2:7" x14ac:dyDescent="0.55000000000000004">
      <c r="B16" s="1">
        <v>7</v>
      </c>
      <c r="C16" s="1">
        <v>18</v>
      </c>
      <c r="D16" s="20">
        <v>32.213999999999999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9"/>
  <sheetViews>
    <sheetView workbookViewId="0">
      <selection activeCell="P21" sqref="P21"/>
    </sheetView>
  </sheetViews>
  <sheetFormatPr defaultRowHeight="14.4" x14ac:dyDescent="0.55000000000000004"/>
  <cols>
    <col min="15" max="15" width="11.5234375" bestFit="1" customWidth="1"/>
  </cols>
  <sheetData>
    <row r="4" spans="3:17" x14ac:dyDescent="0.55000000000000004">
      <c r="C4" t="s">
        <v>210</v>
      </c>
      <c r="F4" s="1">
        <v>3.7</v>
      </c>
      <c r="G4" t="s">
        <v>3</v>
      </c>
    </row>
    <row r="5" spans="3:17" x14ac:dyDescent="0.55000000000000004">
      <c r="C5" t="s">
        <v>211</v>
      </c>
      <c r="F5" s="1">
        <v>85.8</v>
      </c>
      <c r="G5" t="s">
        <v>3</v>
      </c>
    </row>
    <row r="6" spans="3:17" x14ac:dyDescent="0.55000000000000004">
      <c r="C6" t="s">
        <v>212</v>
      </c>
      <c r="F6">
        <f>(F5+F4)/2</f>
        <v>44.75</v>
      </c>
      <c r="G6" t="s">
        <v>3</v>
      </c>
      <c r="H6" t="s">
        <v>213</v>
      </c>
    </row>
    <row r="7" spans="3:17" ht="14.7" thickBot="1" x14ac:dyDescent="0.6"/>
    <row r="8" spans="3:17" x14ac:dyDescent="0.55000000000000004">
      <c r="H8" s="26" t="s">
        <v>218</v>
      </c>
      <c r="I8" s="27"/>
      <c r="J8" s="28"/>
      <c r="K8" s="26" t="s">
        <v>219</v>
      </c>
      <c r="L8" s="27"/>
      <c r="M8" s="28"/>
      <c r="N8" s="19"/>
    </row>
    <row r="9" spans="3:17" x14ac:dyDescent="0.55000000000000004">
      <c r="H9" s="29" t="s">
        <v>196</v>
      </c>
      <c r="I9" s="30" t="s">
        <v>220</v>
      </c>
      <c r="J9" s="31" t="s">
        <v>221</v>
      </c>
      <c r="K9" s="29" t="s">
        <v>196</v>
      </c>
      <c r="L9" s="30" t="s">
        <v>220</v>
      </c>
      <c r="M9" s="31" t="s">
        <v>221</v>
      </c>
      <c r="N9" s="19"/>
      <c r="O9" t="s">
        <v>222</v>
      </c>
      <c r="P9" t="s">
        <v>196</v>
      </c>
      <c r="Q9" s="8" t="s">
        <v>223</v>
      </c>
    </row>
    <row r="10" spans="3:17" x14ac:dyDescent="0.55000000000000004">
      <c r="C10" t="s">
        <v>214</v>
      </c>
      <c r="F10" s="1" t="s">
        <v>216</v>
      </c>
      <c r="H10" s="32">
        <v>0.72148999999999996</v>
      </c>
      <c r="I10" s="33">
        <v>6.2599000000000002E-2</v>
      </c>
      <c r="J10" s="34">
        <v>44.1</v>
      </c>
      <c r="K10" s="32">
        <v>0.78159999999999996</v>
      </c>
      <c r="L10" s="33">
        <v>6.2273000000000002E-2</v>
      </c>
      <c r="M10" s="34">
        <v>49.6</v>
      </c>
      <c r="N10" s="19"/>
      <c r="O10">
        <f>F6</f>
        <v>44.75</v>
      </c>
      <c r="P10" s="17">
        <f>(K10-H10)/(M10-J10)*(O10-M10)+K10</f>
        <v>0.72859390909090904</v>
      </c>
      <c r="Q10" s="17">
        <f>(L10-I10)/(M10-J10)*(O10-M10)+L10</f>
        <v>6.2560472727272734E-2</v>
      </c>
    </row>
    <row r="11" spans="3:17" ht="14.7" thickBot="1" x14ac:dyDescent="0.6">
      <c r="C11" t="s">
        <v>215</v>
      </c>
      <c r="F11" s="1" t="s">
        <v>217</v>
      </c>
      <c r="H11" s="35">
        <v>0.37587999999999999</v>
      </c>
      <c r="I11" s="36"/>
      <c r="J11" s="37">
        <v>44.1</v>
      </c>
      <c r="K11" s="35">
        <v>0.41676000000000002</v>
      </c>
      <c r="L11" s="36"/>
      <c r="M11" s="37">
        <v>49.6</v>
      </c>
      <c r="N11" s="19"/>
      <c r="O11">
        <f>O10</f>
        <v>44.75</v>
      </c>
      <c r="P11" s="17">
        <f>(K11-H11)/(M11-J11)*(O11-M11)+K11</f>
        <v>0.38071127272727273</v>
      </c>
    </row>
    <row r="13" spans="3:17" x14ac:dyDescent="0.55000000000000004">
      <c r="O13" s="8" t="s">
        <v>183</v>
      </c>
      <c r="P13" s="17">
        <f>P10/P11</f>
        <v>1.9137702539552759</v>
      </c>
    </row>
    <row r="15" spans="3:17" x14ac:dyDescent="0.55000000000000004">
      <c r="O15" t="s">
        <v>226</v>
      </c>
      <c r="P15" s="15">
        <f>0.492*(Q10*P13)^-0.245</f>
        <v>0.82757735097804064</v>
      </c>
    </row>
    <row r="16" spans="3:17" x14ac:dyDescent="0.55000000000000004">
      <c r="J16" t="s">
        <v>18</v>
      </c>
      <c r="K16" t="s">
        <v>224</v>
      </c>
    </row>
    <row r="17" spans="10:16" x14ac:dyDescent="0.55000000000000004">
      <c r="J17" t="s">
        <v>52</v>
      </c>
      <c r="K17" t="s">
        <v>225</v>
      </c>
      <c r="O17" t="s">
        <v>227</v>
      </c>
      <c r="P17" s="38">
        <f>P15*0.9</f>
        <v>0.7448196158802366</v>
      </c>
    </row>
    <row r="18" spans="10:16" x14ac:dyDescent="0.55000000000000004">
      <c r="O18" t="s">
        <v>228</v>
      </c>
      <c r="P18" s="1">
        <v>31</v>
      </c>
    </row>
    <row r="19" spans="10:16" x14ac:dyDescent="0.55000000000000004">
      <c r="O19" t="s">
        <v>229</v>
      </c>
      <c r="P19">
        <f>ROUNDUP(P18/P17,0)</f>
        <v>42</v>
      </c>
    </row>
  </sheetData>
  <mergeCells count="2">
    <mergeCell ref="H8:J8"/>
    <mergeCell ref="K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V-Total</vt:lpstr>
      <vt:lpstr>V-York</vt:lpstr>
      <vt:lpstr>V-SP9,10</vt:lpstr>
      <vt:lpstr>Horizontal-Conv.</vt:lpstr>
      <vt:lpstr>Horizontal-Total</vt:lpstr>
      <vt:lpstr>3 Phase-Total</vt:lpstr>
      <vt:lpstr>Column</vt:lpstr>
      <vt:lpstr>DeC2 Optimize Trays</vt:lpstr>
      <vt:lpstr>Tray Efficiency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SAMSYSTEM</dc:creator>
  <cp:lastModifiedBy>SAMSYSTEM</cp:lastModifiedBy>
  <dcterms:created xsi:type="dcterms:W3CDTF">2022-01-10T15:03:51Z</dcterms:created>
  <dcterms:modified xsi:type="dcterms:W3CDTF">2022-01-31T17:28:05Z</dcterms:modified>
</cp:coreProperties>
</file>