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MSYSTEM\Desktop\"/>
    </mc:Choice>
  </mc:AlternateContent>
  <bookViews>
    <workbookView xWindow="0" yWindow="0" windowWidth="23028" windowHeight="9636" activeTab="1"/>
  </bookViews>
  <sheets>
    <sheet name="Vertical with Demister" sheetId="1" r:id="rId1"/>
    <sheet name="Horizntal with Weir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1" i="2" l="1"/>
  <c r="B70" i="2"/>
  <c r="B44" i="2"/>
  <c r="B45" i="2" s="1"/>
  <c r="B82" i="2"/>
  <c r="B30" i="1"/>
  <c r="B37" i="2"/>
  <c r="B38" i="2" s="1"/>
  <c r="B39" i="2" s="1"/>
  <c r="B40" i="2" s="1"/>
  <c r="B34" i="2"/>
  <c r="B7" i="2"/>
  <c r="B21" i="2" s="1"/>
  <c r="B17" i="2"/>
  <c r="B16" i="2"/>
  <c r="B28" i="2" s="1"/>
  <c r="B13" i="2"/>
  <c r="B20" i="2"/>
  <c r="B51" i="2" l="1"/>
  <c r="B41" i="2"/>
  <c r="B88" i="2" s="1"/>
  <c r="B27" i="2"/>
  <c r="B22" i="2"/>
  <c r="B23" i="2" s="1"/>
  <c r="B24" i="2" s="1"/>
  <c r="B85" i="2" s="1"/>
  <c r="B88" i="1"/>
  <c r="B82" i="1"/>
  <c r="B64" i="1"/>
  <c r="B61" i="1"/>
  <c r="B65" i="1" s="1"/>
  <c r="B49" i="1"/>
  <c r="B46" i="1"/>
  <c r="B34" i="1"/>
  <c r="B33" i="1"/>
  <c r="B42" i="1"/>
  <c r="B26" i="1"/>
  <c r="B38" i="1" s="1"/>
  <c r="B18" i="1"/>
  <c r="B13" i="1"/>
  <c r="B14" i="1" s="1"/>
  <c r="B15" i="1" s="1"/>
  <c r="B12" i="1"/>
  <c r="B91" i="2" l="1"/>
  <c r="B32" i="2"/>
  <c r="B46" i="2" s="1"/>
  <c r="B47" i="2" s="1"/>
  <c r="B48" i="2" s="1"/>
  <c r="B54" i="2" s="1"/>
  <c r="B83" i="1"/>
  <c r="B84" i="1" s="1"/>
  <c r="B78" i="1"/>
  <c r="B87" i="1" s="1"/>
  <c r="B66" i="1"/>
  <c r="B74" i="1"/>
  <c r="B55" i="1"/>
  <c r="B21" i="1"/>
  <c r="B67" i="1" l="1"/>
  <c r="B70" i="1" s="1"/>
  <c r="B73" i="1" s="1"/>
  <c r="B58" i="2" l="1"/>
  <c r="B62" i="2" s="1"/>
  <c r="B59" i="2"/>
  <c r="B74" i="2" s="1"/>
  <c r="B77" i="1"/>
  <c r="B90" i="1" s="1"/>
  <c r="B91" i="1" s="1"/>
  <c r="B99" i="1" s="1"/>
  <c r="B63" i="2" l="1"/>
  <c r="B64" i="2" s="1"/>
  <c r="B65" i="2" s="1"/>
  <c r="B66" i="2" s="1"/>
  <c r="B75" i="2"/>
  <c r="B93" i="1"/>
  <c r="B101" i="1"/>
  <c r="B78" i="2" l="1"/>
</calcChain>
</file>

<file path=xl/sharedStrings.xml><?xml version="1.0" encoding="utf-8"?>
<sst xmlns="http://schemas.openxmlformats.org/spreadsheetml/2006/main" count="282" uniqueCount="165">
  <si>
    <t>Gas</t>
  </si>
  <si>
    <t>Water</t>
  </si>
  <si>
    <t>HC</t>
  </si>
  <si>
    <t>mass flow (lb/h)</t>
  </si>
  <si>
    <t>density (lb/ft3)</t>
  </si>
  <si>
    <t>viscosity (cP)</t>
  </si>
  <si>
    <t>Step 1:</t>
  </si>
  <si>
    <t>OP</t>
  </si>
  <si>
    <t>psia</t>
  </si>
  <si>
    <t>HC holdup</t>
  </si>
  <si>
    <t>min</t>
  </si>
  <si>
    <t>surge</t>
  </si>
  <si>
    <t>K</t>
  </si>
  <si>
    <t>lb/ft3</t>
  </si>
  <si>
    <t>York Demister</t>
  </si>
  <si>
    <t>ft/s</t>
  </si>
  <si>
    <t>derate by 0.75</t>
  </si>
  <si>
    <t>Qv</t>
  </si>
  <si>
    <t>ft3/s</t>
  </si>
  <si>
    <t>ft</t>
  </si>
  <si>
    <t>Step 2:</t>
  </si>
  <si>
    <t>calculate vertical termonal vapor velocity</t>
  </si>
  <si>
    <t>calculate vapor volume flow</t>
  </si>
  <si>
    <t>Step 3:</t>
  </si>
  <si>
    <t>calculate vessel diameter</t>
  </si>
  <si>
    <t>Step 4:</t>
  </si>
  <si>
    <t>calculate settling velocity of heavy liquid out of light liquid</t>
  </si>
  <si>
    <t>ks</t>
  </si>
  <si>
    <t>in/min</t>
  </si>
  <si>
    <t>Step 5:</t>
  </si>
  <si>
    <t>calculate settling velocity of light liquid out of heavy liquid</t>
  </si>
  <si>
    <t>Step 6:</t>
  </si>
  <si>
    <t>calculate light and heavy liquid volume flow</t>
  </si>
  <si>
    <t>ft3/min</t>
  </si>
  <si>
    <t>Step 7:</t>
  </si>
  <si>
    <t>Step 8:</t>
  </si>
  <si>
    <t>Step 9:</t>
  </si>
  <si>
    <t>if there is a baffle plate, calculate the area</t>
  </si>
  <si>
    <r>
      <t>U</t>
    </r>
    <r>
      <rPr>
        <vertAlign val="subscript"/>
        <sz val="11"/>
        <color theme="1"/>
        <rFont val="Calibri"/>
        <family val="2"/>
        <scheme val="minor"/>
      </rPr>
      <t>LL</t>
    </r>
  </si>
  <si>
    <r>
      <t>U</t>
    </r>
    <r>
      <rPr>
        <vertAlign val="subscript"/>
        <sz val="11"/>
        <color theme="1"/>
        <rFont val="Calibri"/>
        <family val="2"/>
        <scheme val="minor"/>
      </rPr>
      <t>HL</t>
    </r>
  </si>
  <si>
    <r>
      <t>Q</t>
    </r>
    <r>
      <rPr>
        <vertAlign val="subscript"/>
        <sz val="11"/>
        <color theme="1"/>
        <rFont val="Calibri"/>
        <family val="2"/>
        <scheme val="minor"/>
      </rPr>
      <t>LL</t>
    </r>
  </si>
  <si>
    <r>
      <t>Q</t>
    </r>
    <r>
      <rPr>
        <vertAlign val="subscript"/>
        <sz val="11"/>
        <color theme="1"/>
        <rFont val="Calibri"/>
        <family val="2"/>
        <scheme val="minor"/>
      </rPr>
      <t>HL</t>
    </r>
  </si>
  <si>
    <r>
      <t>H</t>
    </r>
    <r>
      <rPr>
        <vertAlign val="subscript"/>
        <sz val="11"/>
        <color theme="1"/>
        <rFont val="Calibri"/>
        <family val="2"/>
        <scheme val="minor"/>
      </rPr>
      <t>L</t>
    </r>
  </si>
  <si>
    <r>
      <t>t</t>
    </r>
    <r>
      <rPr>
        <vertAlign val="subscript"/>
        <sz val="11"/>
        <color theme="1"/>
        <rFont val="Calibri"/>
        <family val="2"/>
        <scheme val="minor"/>
      </rPr>
      <t>HL</t>
    </r>
  </si>
  <si>
    <r>
      <t>assume H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=1 ft (minimum) and calculate settling time for the heavy liquid droplet to settle through this distance</t>
    </r>
  </si>
  <si>
    <r>
      <t>assume H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=1 ft (minimum) and calculate settling time for the light liquid droplet to settle through this distance</t>
    </r>
  </si>
  <si>
    <r>
      <t>H</t>
    </r>
    <r>
      <rPr>
        <vertAlign val="subscript"/>
        <sz val="11"/>
        <color theme="1"/>
        <rFont val="Calibri"/>
        <family val="2"/>
        <scheme val="minor"/>
      </rPr>
      <t>H</t>
    </r>
  </si>
  <si>
    <r>
      <t>D</t>
    </r>
    <r>
      <rPr>
        <vertAlign val="subscript"/>
        <sz val="11"/>
        <color theme="1"/>
        <rFont val="Calibri"/>
        <family val="2"/>
        <scheme val="minor"/>
      </rPr>
      <t>vd</t>
    </r>
  </si>
  <si>
    <r>
      <t>U</t>
    </r>
    <r>
      <rPr>
        <vertAlign val="subscript"/>
        <sz val="11"/>
        <color theme="1"/>
        <rFont val="Calibri"/>
        <family val="2"/>
        <scheme val="minor"/>
      </rPr>
      <t>t</t>
    </r>
  </si>
  <si>
    <r>
      <t>U</t>
    </r>
    <r>
      <rPr>
        <vertAlign val="subscript"/>
        <sz val="11"/>
        <color theme="1"/>
        <rFont val="Calibri"/>
        <family val="2"/>
        <scheme val="minor"/>
      </rPr>
      <t>v</t>
    </r>
  </si>
  <si>
    <t>a.</t>
  </si>
  <si>
    <r>
      <t>calculate (ρ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-ρ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</si>
  <si>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t>b.</t>
  </si>
  <si>
    <r>
      <t>assume 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(use 9 in as minimum) and calculate (H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)</t>
    </r>
  </si>
  <si>
    <r>
      <t>(ρ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>-ρ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</si>
  <si>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H</t>
    </r>
    <r>
      <rPr>
        <vertAlign val="subscript"/>
        <sz val="11"/>
        <color theme="1"/>
        <rFont val="Calibri"/>
        <family val="2"/>
        <scheme val="minor"/>
      </rPr>
      <t>R</t>
    </r>
  </si>
  <si>
    <t>in</t>
  </si>
  <si>
    <r>
      <t>(H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)</t>
    </r>
  </si>
  <si>
    <t>c.</t>
  </si>
  <si>
    <t>use figure 3 to calculate G</t>
  </si>
  <si>
    <t>G</t>
  </si>
  <si>
    <t>gph/ft2</t>
  </si>
  <si>
    <t>d.</t>
  </si>
  <si>
    <t>A</t>
  </si>
  <si>
    <t>ft2</t>
  </si>
  <si>
    <r>
      <t>calculate A</t>
    </r>
    <r>
      <rPr>
        <vertAlign val="subscript"/>
        <sz val="11"/>
        <color theme="1"/>
        <rFont val="Calibri"/>
        <family val="2"/>
        <scheme val="minor"/>
      </rPr>
      <t>D</t>
    </r>
  </si>
  <si>
    <r>
      <t>A</t>
    </r>
    <r>
      <rPr>
        <vertAlign val="subscript"/>
        <sz val="11"/>
        <color theme="1"/>
        <rFont val="Calibri"/>
        <family val="2"/>
        <scheme val="minor"/>
      </rPr>
      <t>D</t>
    </r>
  </si>
  <si>
    <t>e.</t>
  </si>
  <si>
    <r>
      <t>assume W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= 4 in </t>
    </r>
  </si>
  <si>
    <r>
      <t>W</t>
    </r>
    <r>
      <rPr>
        <vertAlign val="subscript"/>
        <sz val="11"/>
        <color theme="1"/>
        <rFont val="Calibri"/>
        <family val="2"/>
        <scheme val="minor"/>
      </rPr>
      <t>D</t>
    </r>
  </si>
  <si>
    <t>f.</t>
  </si>
  <si>
    <r>
      <t>calculate W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/D </t>
    </r>
  </si>
  <si>
    <r>
      <t>W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/D </t>
    </r>
  </si>
  <si>
    <t>round to nearest 6 in</t>
  </si>
  <si>
    <t>θ</t>
  </si>
  <si>
    <r>
      <t>Select A</t>
    </r>
    <r>
      <rPr>
        <vertAlign val="subscript"/>
        <sz val="11"/>
        <color theme="1"/>
        <rFont val="Calibri"/>
        <family val="2"/>
        <scheme val="minor"/>
      </rPr>
      <t>D</t>
    </r>
  </si>
  <si>
    <t>g~j.</t>
  </si>
  <si>
    <r>
      <t>select larger A</t>
    </r>
    <r>
      <rPr>
        <vertAlign val="subscript"/>
        <sz val="11"/>
        <color theme="1"/>
        <rFont val="Calibri"/>
        <family val="2"/>
        <scheme val="minor"/>
      </rPr>
      <t>D</t>
    </r>
  </si>
  <si>
    <t>k.</t>
  </si>
  <si>
    <t>calculate the area of the baffle plate = settling area for the light liquid</t>
  </si>
  <si>
    <r>
      <t>A</t>
    </r>
    <r>
      <rPr>
        <vertAlign val="subscript"/>
        <sz val="11"/>
        <color theme="1"/>
        <rFont val="Calibri"/>
        <family val="2"/>
        <scheme val="minor"/>
      </rPr>
      <t>L</t>
    </r>
  </si>
  <si>
    <t>Step 10:</t>
  </si>
  <si>
    <t>calculate residence time of each phase</t>
  </si>
  <si>
    <r>
      <t>θ</t>
    </r>
    <r>
      <rPr>
        <vertAlign val="subscript"/>
        <sz val="11"/>
        <color theme="1"/>
        <rFont val="Calibri"/>
        <family val="2"/>
      </rPr>
      <t>LL</t>
    </r>
  </si>
  <si>
    <r>
      <t>θ</t>
    </r>
    <r>
      <rPr>
        <vertAlign val="subscript"/>
        <sz val="11"/>
        <color theme="1"/>
        <rFont val="Calibri"/>
        <family val="2"/>
      </rPr>
      <t>HL</t>
    </r>
  </si>
  <si>
    <t>Step 11:</t>
  </si>
  <si>
    <t>check this value that assume in step 9b is reasonable</t>
  </si>
  <si>
    <t>calculate surge height based on surge time</t>
  </si>
  <si>
    <t>Step 12:</t>
  </si>
  <si>
    <t>calculate height of light liquid above the outlet</t>
  </si>
  <si>
    <t>calculate vessel height using guideline</t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</si>
  <si>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</si>
  <si>
    <r>
      <t>H</t>
    </r>
    <r>
      <rPr>
        <vertAlign val="subscript"/>
        <sz val="11"/>
        <color theme="1"/>
        <rFont val="Calibri"/>
        <family val="2"/>
        <scheme val="minor"/>
      </rPr>
      <t>S</t>
    </r>
  </si>
  <si>
    <t>minimum</t>
  </si>
  <si>
    <r>
      <t>H</t>
    </r>
    <r>
      <rPr>
        <vertAlign val="subscript"/>
        <sz val="11"/>
        <color theme="1"/>
        <rFont val="Calibri"/>
        <family val="2"/>
        <scheme val="minor"/>
      </rPr>
      <t>BN</t>
    </r>
  </si>
  <si>
    <r>
      <t>calculate d</t>
    </r>
    <r>
      <rPr>
        <vertAlign val="subscript"/>
        <sz val="11"/>
        <color theme="1"/>
        <rFont val="Calibri"/>
        <family val="2"/>
        <scheme val="minor"/>
      </rPr>
      <t>N</t>
    </r>
  </si>
  <si>
    <r>
      <t>ρ</t>
    </r>
    <r>
      <rPr>
        <vertAlign val="subscript"/>
        <sz val="11"/>
        <color theme="1"/>
        <rFont val="Calibri"/>
        <family val="2"/>
      </rPr>
      <t>Lmix</t>
    </r>
  </si>
  <si>
    <r>
      <t>ρ</t>
    </r>
    <r>
      <rPr>
        <vertAlign val="subscript"/>
        <sz val="11"/>
        <color theme="1"/>
        <rFont val="Calibri"/>
        <family val="2"/>
      </rPr>
      <t>mix</t>
    </r>
  </si>
  <si>
    <r>
      <t>Q</t>
    </r>
    <r>
      <rPr>
        <vertAlign val="subscript"/>
        <sz val="11"/>
        <color theme="1"/>
        <rFont val="Calibri"/>
        <family val="2"/>
      </rPr>
      <t>M</t>
    </r>
  </si>
  <si>
    <r>
      <t>d</t>
    </r>
    <r>
      <rPr>
        <vertAlign val="subscript"/>
        <sz val="11"/>
        <color theme="1"/>
        <rFont val="Calibri"/>
        <family val="2"/>
        <scheme val="minor"/>
      </rPr>
      <t xml:space="preserve">N </t>
    </r>
    <r>
      <rPr>
        <sz val="11"/>
        <color theme="1"/>
        <rFont val="Calibri"/>
        <family val="2"/>
      </rPr>
      <t>≥</t>
    </r>
  </si>
  <si>
    <r>
      <t>select d</t>
    </r>
    <r>
      <rPr>
        <vertAlign val="subscript"/>
        <sz val="11"/>
        <color theme="1"/>
        <rFont val="Calibri"/>
        <family val="2"/>
        <scheme val="minor"/>
      </rPr>
      <t>N</t>
    </r>
  </si>
  <si>
    <r>
      <t>H</t>
    </r>
    <r>
      <rPr>
        <vertAlign val="subscript"/>
        <sz val="11"/>
        <color theme="1"/>
        <rFont val="Calibri"/>
        <family val="2"/>
        <scheme val="minor"/>
      </rPr>
      <t>D</t>
    </r>
  </si>
  <si>
    <r>
      <t>H</t>
    </r>
    <r>
      <rPr>
        <vertAlign val="subscript"/>
        <sz val="11"/>
        <color theme="1"/>
        <rFont val="Calibri"/>
        <family val="2"/>
        <scheme val="minor"/>
      </rPr>
      <t>T</t>
    </r>
  </si>
  <si>
    <r>
      <t>check H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/D</t>
    </r>
  </si>
  <si>
    <r>
      <t>add 2 ft to H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(H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=2 ft and H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=7 ft) to increase H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/D</t>
    </r>
  </si>
  <si>
    <r>
      <t xml:space="preserve">1.5 </t>
    </r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H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/D ≤ 6</t>
    </r>
  </si>
  <si>
    <r>
      <t>H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/>
    </r>
  </si>
  <si>
    <t>demister</t>
  </si>
  <si>
    <t>No</t>
  </si>
  <si>
    <t>select K</t>
  </si>
  <si>
    <t>calculate holdup and surge volume</t>
  </si>
  <si>
    <t>VH</t>
  </si>
  <si>
    <t>VS</t>
  </si>
  <si>
    <t>ft3</t>
  </si>
  <si>
    <t>obtain L/D from table 7 and initially set the diameter</t>
  </si>
  <si>
    <t>L/D</t>
  </si>
  <si>
    <t>select D</t>
  </si>
  <si>
    <t>D</t>
  </si>
  <si>
    <t>AT</t>
  </si>
  <si>
    <r>
      <t>H</t>
    </r>
    <r>
      <rPr>
        <vertAlign val="subscript"/>
        <sz val="11"/>
        <color theme="1"/>
        <rFont val="Calibri"/>
        <family val="2"/>
        <scheme val="minor"/>
      </rPr>
      <t>V</t>
    </r>
  </si>
  <si>
    <t>set vapor space height, Hv, to the larger of 0.2D or 2 ft (1 ft if there is no demister)</t>
  </si>
  <si>
    <r>
      <t>H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/D</t>
    </r>
  </si>
  <si>
    <r>
      <t>A</t>
    </r>
    <r>
      <rPr>
        <vertAlign val="subscript"/>
        <sz val="11"/>
        <color theme="1"/>
        <rFont val="Calibri"/>
        <family val="2"/>
      </rPr>
      <t>V</t>
    </r>
    <r>
      <rPr>
        <sz val="11"/>
        <color theme="1"/>
        <rFont val="Calibri"/>
        <family val="2"/>
      </rPr>
      <t>/AT</t>
    </r>
  </si>
  <si>
    <r>
      <t>A</t>
    </r>
    <r>
      <rPr>
        <vertAlign val="subscript"/>
        <sz val="11"/>
        <color theme="1"/>
        <rFont val="Calibri"/>
        <family val="2"/>
      </rPr>
      <t>V</t>
    </r>
  </si>
  <si>
    <t>calculate low liquid level in light liquid compartment</t>
  </si>
  <si>
    <r>
      <t>H</t>
    </r>
    <r>
      <rPr>
        <vertAlign val="subscript"/>
        <sz val="11"/>
        <color theme="1"/>
        <rFont val="Calibri"/>
        <family val="2"/>
        <scheme val="minor"/>
      </rPr>
      <t>LLL</t>
    </r>
  </si>
  <si>
    <r>
      <t>H</t>
    </r>
    <r>
      <rPr>
        <vertAlign val="subscript"/>
        <sz val="11"/>
        <color theme="1"/>
        <rFont val="Calibri"/>
        <family val="2"/>
        <scheme val="minor"/>
      </rPr>
      <t>LLL</t>
    </r>
    <r>
      <rPr>
        <sz val="11"/>
        <color theme="1"/>
        <rFont val="Calibri"/>
        <family val="2"/>
        <scheme val="minor"/>
      </rPr>
      <t>/D</t>
    </r>
  </si>
  <si>
    <r>
      <t>A</t>
    </r>
    <r>
      <rPr>
        <vertAlign val="subscript"/>
        <sz val="11"/>
        <color theme="1"/>
        <rFont val="Calibri"/>
        <family val="2"/>
      </rPr>
      <t>LLL</t>
    </r>
    <r>
      <rPr>
        <sz val="11"/>
        <color theme="1"/>
        <rFont val="Calibri"/>
        <family val="2"/>
      </rPr>
      <t>/AT</t>
    </r>
  </si>
  <si>
    <t>calculate weir height</t>
  </si>
  <si>
    <r>
      <t>H</t>
    </r>
    <r>
      <rPr>
        <vertAlign val="subscript"/>
        <sz val="11"/>
        <color theme="1"/>
        <rFont val="Calibri"/>
        <family val="2"/>
        <scheme val="minor"/>
      </rPr>
      <t>W</t>
    </r>
  </si>
  <si>
    <r>
      <t>if H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&lt;2 ft, increase Dand repeat the calculation from step 6</t>
    </r>
  </si>
  <si>
    <t>calculate minimum length of the light liquid compartment to accommodate holdup/surge, L2 in figure 2</t>
  </si>
  <si>
    <r>
      <t>L</t>
    </r>
    <r>
      <rPr>
        <vertAlign val="subscript"/>
        <sz val="11"/>
        <color theme="1"/>
        <rFont val="Calibri"/>
        <family val="2"/>
        <scheme val="minor"/>
      </rPr>
      <t>2</t>
    </r>
  </si>
  <si>
    <r>
      <t>A</t>
    </r>
    <r>
      <rPr>
        <vertAlign val="subscript"/>
        <sz val="11"/>
        <color theme="1"/>
        <rFont val="Calibri"/>
        <family val="2"/>
      </rPr>
      <t>LLL</t>
    </r>
  </si>
  <si>
    <r>
      <t>set the interface at the height H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/2</t>
    </r>
  </si>
  <si>
    <r>
      <t>H</t>
    </r>
    <r>
      <rPr>
        <vertAlign val="subscript"/>
        <sz val="11"/>
        <color theme="1"/>
        <rFont val="Calibri"/>
        <family val="2"/>
        <scheme val="minor"/>
      </rPr>
      <t>HL</t>
    </r>
  </si>
  <si>
    <r>
      <t>H</t>
    </r>
    <r>
      <rPr>
        <vertAlign val="subscript"/>
        <sz val="11"/>
        <color theme="1"/>
        <rFont val="Calibri"/>
        <family val="2"/>
        <scheme val="minor"/>
      </rPr>
      <t>LL</t>
    </r>
  </si>
  <si>
    <r>
      <t>H</t>
    </r>
    <r>
      <rPr>
        <vertAlign val="subscript"/>
        <sz val="11"/>
        <color theme="1"/>
        <rFont val="Calibri"/>
        <family val="2"/>
        <scheme val="minor"/>
      </rPr>
      <t>HL</t>
    </r>
    <r>
      <rPr>
        <sz val="11"/>
        <color theme="1"/>
        <rFont val="Calibri"/>
        <family val="2"/>
        <scheme val="minor"/>
      </rPr>
      <t>/D</t>
    </r>
  </si>
  <si>
    <r>
      <t>A</t>
    </r>
    <r>
      <rPr>
        <vertAlign val="subscript"/>
        <sz val="11"/>
        <color theme="1"/>
        <rFont val="Calibri"/>
        <family val="2"/>
      </rPr>
      <t>HL</t>
    </r>
    <r>
      <rPr>
        <sz val="11"/>
        <color theme="1"/>
        <rFont val="Calibri"/>
        <family val="2"/>
      </rPr>
      <t>/AT</t>
    </r>
  </si>
  <si>
    <t>calculate cross sectional area of the heavy liquid and light liquid</t>
  </si>
  <si>
    <r>
      <t>A</t>
    </r>
    <r>
      <rPr>
        <vertAlign val="subscript"/>
        <sz val="11"/>
        <color theme="1"/>
        <rFont val="Calibri"/>
        <family val="2"/>
      </rPr>
      <t>HL</t>
    </r>
  </si>
  <si>
    <r>
      <t>A</t>
    </r>
    <r>
      <rPr>
        <vertAlign val="subscript"/>
        <sz val="11"/>
        <color theme="1"/>
        <rFont val="Calibri"/>
        <family val="2"/>
      </rPr>
      <t>LL</t>
    </r>
  </si>
  <si>
    <t>calculate settling velocity of light liquid out of heavy liquid and heavy liquid out of light liquid</t>
  </si>
  <si>
    <t>Step 13:</t>
  </si>
  <si>
    <t>calculate settling time of the heavy liquid out of light liquid and heavy liquid out of light liquid</t>
  </si>
  <si>
    <r>
      <t>t</t>
    </r>
    <r>
      <rPr>
        <vertAlign val="subscript"/>
        <sz val="11"/>
        <color theme="1"/>
        <rFont val="Calibri"/>
        <family val="2"/>
        <scheme val="minor"/>
      </rPr>
      <t>LH</t>
    </r>
  </si>
  <si>
    <r>
      <t>U</t>
    </r>
    <r>
      <rPr>
        <vertAlign val="subscript"/>
        <sz val="11"/>
        <color theme="1"/>
        <rFont val="Calibri"/>
        <family val="2"/>
        <scheme val="minor"/>
      </rPr>
      <t>LH</t>
    </r>
  </si>
  <si>
    <t>Step 14:</t>
  </si>
  <si>
    <r>
      <t>calculate minimum L</t>
    </r>
    <r>
      <rPr>
        <vertAlign val="subscript"/>
        <sz val="11"/>
        <color theme="1"/>
        <rFont val="Calibri"/>
        <family val="2"/>
        <scheme val="minor"/>
      </rPr>
      <t>1</t>
    </r>
  </si>
  <si>
    <r>
      <t>L</t>
    </r>
    <r>
      <rPr>
        <vertAlign val="subscript"/>
        <sz val="11"/>
        <color theme="1"/>
        <rFont val="Calibri"/>
        <family val="2"/>
        <scheme val="minor"/>
      </rPr>
      <t>1</t>
    </r>
  </si>
  <si>
    <t>round to neatest 0.5 ft</t>
  </si>
  <si>
    <r>
      <t>round to neatest 0.5 ft, minimum L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= d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+ 12 in</t>
    </r>
  </si>
  <si>
    <t>Step 15:</t>
  </si>
  <si>
    <t>find L</t>
  </si>
  <si>
    <t>L</t>
  </si>
  <si>
    <t>Step 16:</t>
  </si>
  <si>
    <t>calcualte liquid droplet time</t>
  </si>
  <si>
    <t>φ</t>
  </si>
  <si>
    <t>s</t>
  </si>
  <si>
    <t>Step 17:</t>
  </si>
  <si>
    <r>
      <t>U</t>
    </r>
    <r>
      <rPr>
        <vertAlign val="subscript"/>
        <sz val="11"/>
        <color theme="1"/>
        <rFont val="Calibri"/>
        <family val="2"/>
        <scheme val="minor"/>
      </rPr>
      <t>VA</t>
    </r>
  </si>
  <si>
    <r>
      <t>calculate vapor actual velosity (U</t>
    </r>
    <r>
      <rPr>
        <vertAlign val="subscript"/>
        <sz val="11"/>
        <color theme="1"/>
        <rFont val="Calibri"/>
        <family val="2"/>
        <scheme val="minor"/>
      </rPr>
      <t>VA</t>
    </r>
    <r>
      <rPr>
        <sz val="11"/>
        <color theme="1"/>
        <rFont val="Calibri"/>
        <family val="2"/>
        <scheme val="minor"/>
      </rPr>
      <t>)</t>
    </r>
  </si>
  <si>
    <t>Step 18:</t>
  </si>
  <si>
    <t>calculate minimum required length for vapor/liquid separation</t>
  </si>
  <si>
    <r>
      <t>L</t>
    </r>
    <r>
      <rPr>
        <vertAlign val="subscript"/>
        <sz val="11"/>
        <color theme="1"/>
        <rFont val="Calibri"/>
        <family val="2"/>
        <scheme val="minor"/>
      </rPr>
      <t>MIN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</si>
</sst>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0" fontId="1" fillId="0" borderId="0" xfId="0" applyFont="1"/>
    <xf numFmtId="166" fontId="0" fillId="0" borderId="0" xfId="0" applyNumberFormat="1"/>
    <xf numFmtId="0" fontId="0" fillId="0" borderId="0" xfId="0" applyAlignment="1">
      <alignment horizontal="right"/>
    </xf>
    <xf numFmtId="166" fontId="0" fillId="2" borderId="0" xfId="0" applyNumberFormat="1" applyFill="1"/>
    <xf numFmtId="0" fontId="0" fillId="0" borderId="0" xfId="0" applyAlignment="1">
      <alignment horizontal="left"/>
    </xf>
    <xf numFmtId="166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right"/>
    </xf>
    <xf numFmtId="2" fontId="0" fillId="0" borderId="0" xfId="0" applyNumberFormat="1" applyFill="1"/>
    <xf numFmtId="164" fontId="0" fillId="0" borderId="0" xfId="0" applyNumberFormat="1" applyFill="1"/>
    <xf numFmtId="0" fontId="0" fillId="0" borderId="0" xfId="0" applyFill="1" applyAlignment="1">
      <alignment horizontal="left"/>
    </xf>
    <xf numFmtId="0" fontId="1" fillId="0" borderId="0" xfId="0" applyFont="1" applyFill="1"/>
    <xf numFmtId="165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633703</xdr:colOff>
      <xdr:row>34</xdr:row>
      <xdr:rowOff>96299</xdr:rowOff>
    </xdr:from>
    <xdr:to>
      <xdr:col>19</xdr:col>
      <xdr:colOff>106996</xdr:colOff>
      <xdr:row>55</xdr:row>
      <xdr:rowOff>149188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4138" y="6318195"/>
          <a:ext cx="5867467" cy="4296898"/>
        </a:xfrm>
        <a:prstGeom prst="rect">
          <a:avLst/>
        </a:prstGeom>
      </xdr:spPr>
    </xdr:pic>
    <xdr:clientData/>
  </xdr:twoCellAnchor>
  <xdr:twoCellAnchor editAs="oneCell">
    <xdr:from>
      <xdr:col>10</xdr:col>
      <xdr:colOff>6373</xdr:colOff>
      <xdr:row>0</xdr:row>
      <xdr:rowOff>0</xdr:rowOff>
    </xdr:from>
    <xdr:to>
      <xdr:col>17</xdr:col>
      <xdr:colOff>295276</xdr:colOff>
      <xdr:row>32</xdr:row>
      <xdr:rowOff>84091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2973" y="0"/>
          <a:ext cx="4756128" cy="60765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557461</xdr:colOff>
      <xdr:row>0</xdr:row>
      <xdr:rowOff>147484</xdr:rowOff>
    </xdr:from>
    <xdr:to>
      <xdr:col>11</xdr:col>
      <xdr:colOff>245164</xdr:colOff>
      <xdr:row>9</xdr:row>
      <xdr:rowOff>129129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531" y="147484"/>
          <a:ext cx="2884790" cy="1621602"/>
        </a:xfrm>
        <a:prstGeom prst="rect">
          <a:avLst/>
        </a:prstGeom>
      </xdr:spPr>
    </xdr:pic>
    <xdr:clientData/>
  </xdr:twoCellAnchor>
  <xdr:twoCellAnchor editAs="oneCell">
    <xdr:from>
      <xdr:col>8</xdr:col>
      <xdr:colOff>240496</xdr:colOff>
      <xdr:row>12</xdr:row>
      <xdr:rowOff>112511</xdr:rowOff>
    </xdr:from>
    <xdr:to>
      <xdr:col>16</xdr:col>
      <xdr:colOff>942</xdr:colOff>
      <xdr:row>30</xdr:row>
      <xdr:rowOff>189380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4790" y="2317829"/>
          <a:ext cx="4888258" cy="354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01"/>
  <sheetViews>
    <sheetView topLeftCell="A19" zoomScale="115" zoomScaleNormal="115" workbookViewId="0">
      <selection activeCell="A38" sqref="A38"/>
    </sheetView>
  </sheetViews>
  <sheetFormatPr defaultRowHeight="14.4" x14ac:dyDescent="0.55000000000000004"/>
  <cols>
    <col min="1" max="1" width="9.83984375" customWidth="1"/>
    <col min="2" max="2" width="13.20703125" bestFit="1" customWidth="1"/>
    <col min="3" max="3" width="12.26171875" bestFit="1" customWidth="1"/>
    <col min="4" max="4" width="10.734375" bestFit="1" customWidth="1"/>
  </cols>
  <sheetData>
    <row r="2" spans="1:4" x14ac:dyDescent="0.55000000000000004">
      <c r="B2" t="s">
        <v>3</v>
      </c>
      <c r="C2" t="s">
        <v>4</v>
      </c>
      <c r="D2" t="s">
        <v>5</v>
      </c>
    </row>
    <row r="3" spans="1:4" x14ac:dyDescent="0.55000000000000004">
      <c r="A3" t="s">
        <v>0</v>
      </c>
      <c r="B3" s="1">
        <v>415000</v>
      </c>
      <c r="C3" s="1">
        <v>0.69730000000000003</v>
      </c>
      <c r="D3" s="1"/>
    </row>
    <row r="4" spans="1:4" x14ac:dyDescent="0.55000000000000004">
      <c r="A4" t="s">
        <v>2</v>
      </c>
      <c r="B4" s="1">
        <v>16500</v>
      </c>
      <c r="C4" s="1">
        <v>53.95</v>
      </c>
      <c r="D4" s="1">
        <v>0.63</v>
      </c>
    </row>
    <row r="5" spans="1:4" x14ac:dyDescent="0.55000000000000004">
      <c r="A5" t="s">
        <v>1</v>
      </c>
      <c r="B5" s="1">
        <v>1300</v>
      </c>
      <c r="C5" s="1">
        <v>62.11</v>
      </c>
      <c r="D5" s="1">
        <v>0.76400000000000001</v>
      </c>
    </row>
    <row r="7" spans="1:4" x14ac:dyDescent="0.55000000000000004">
      <c r="A7" t="s">
        <v>7</v>
      </c>
      <c r="B7" s="1">
        <v>165</v>
      </c>
      <c r="C7" t="s">
        <v>8</v>
      </c>
    </row>
    <row r="8" spans="1:4" x14ac:dyDescent="0.55000000000000004">
      <c r="A8" t="s">
        <v>9</v>
      </c>
      <c r="B8" s="1">
        <v>25</v>
      </c>
      <c r="C8" t="s">
        <v>10</v>
      </c>
    </row>
    <row r="9" spans="1:4" x14ac:dyDescent="0.55000000000000004">
      <c r="A9" t="s">
        <v>11</v>
      </c>
      <c r="B9" s="1">
        <v>5</v>
      </c>
      <c r="C9" t="s">
        <v>10</v>
      </c>
    </row>
    <row r="11" spans="1:4" x14ac:dyDescent="0.55000000000000004">
      <c r="A11" t="s">
        <v>6</v>
      </c>
      <c r="B11" t="s">
        <v>21</v>
      </c>
    </row>
    <row r="12" spans="1:4" ht="16.8" x14ac:dyDescent="0.75">
      <c r="A12" s="5" t="s">
        <v>96</v>
      </c>
      <c r="B12" s="6">
        <f>(B4+B5)/(B4/C4+B5/C5)</f>
        <v>54.472673729394039</v>
      </c>
      <c r="C12" t="s">
        <v>13</v>
      </c>
    </row>
    <row r="13" spans="1:4" x14ac:dyDescent="0.55000000000000004">
      <c r="A13" t="s">
        <v>12</v>
      </c>
      <c r="B13" s="3">
        <f>IF(B7&lt;15,0.1821+0.0029*B7+0.046*LN(B7),IF(B7&lt;=40,0.35,0.43-0.023*LN(B7)))</f>
        <v>0.31256325410028662</v>
      </c>
      <c r="C13" t="s">
        <v>15</v>
      </c>
      <c r="D13" t="s">
        <v>14</v>
      </c>
    </row>
    <row r="14" spans="1:4" ht="16.8" x14ac:dyDescent="0.75">
      <c r="A14" t="s">
        <v>48</v>
      </c>
      <c r="B14" s="4">
        <f>B13*((C4-C3)/C3)^0.5</f>
        <v>2.7314855234192854</v>
      </c>
      <c r="C14" t="s">
        <v>15</v>
      </c>
    </row>
    <row r="15" spans="1:4" ht="16.8" x14ac:dyDescent="0.75">
      <c r="A15" t="s">
        <v>49</v>
      </c>
      <c r="B15" s="4">
        <f>B14*0.75</f>
        <v>2.0486141425644639</v>
      </c>
      <c r="C15" t="s">
        <v>15</v>
      </c>
      <c r="D15" t="s">
        <v>16</v>
      </c>
    </row>
    <row r="17" spans="1:4" x14ac:dyDescent="0.55000000000000004">
      <c r="A17" t="s">
        <v>20</v>
      </c>
      <c r="B17" t="s">
        <v>22</v>
      </c>
    </row>
    <row r="18" spans="1:4" x14ac:dyDescent="0.55000000000000004">
      <c r="A18" t="s">
        <v>17</v>
      </c>
      <c r="B18" s="4">
        <f>B3/C3/3600</f>
        <v>165.32020332393196</v>
      </c>
      <c r="C18" t="s">
        <v>18</v>
      </c>
    </row>
    <row r="20" spans="1:4" x14ac:dyDescent="0.55000000000000004">
      <c r="A20" t="s">
        <v>23</v>
      </c>
      <c r="B20" t="s">
        <v>24</v>
      </c>
    </row>
    <row r="21" spans="1:4" ht="16.8" x14ac:dyDescent="0.75">
      <c r="A21" t="s">
        <v>47</v>
      </c>
      <c r="B21" s="6">
        <f>(4*B18/PI()/B15)^0.5</f>
        <v>10.13649805591613</v>
      </c>
      <c r="C21" t="s">
        <v>19</v>
      </c>
    </row>
    <row r="22" spans="1:4" ht="16.8" x14ac:dyDescent="0.75">
      <c r="A22" t="s">
        <v>47</v>
      </c>
      <c r="B22" s="8">
        <v>10.5</v>
      </c>
      <c r="C22" t="s">
        <v>19</v>
      </c>
      <c r="D22" t="s">
        <v>73</v>
      </c>
    </row>
    <row r="24" spans="1:4" x14ac:dyDescent="0.55000000000000004">
      <c r="A24" t="s">
        <v>25</v>
      </c>
      <c r="B24" t="s">
        <v>26</v>
      </c>
    </row>
    <row r="25" spans="1:4" x14ac:dyDescent="0.55000000000000004">
      <c r="A25" t="s">
        <v>27</v>
      </c>
      <c r="B25" s="1">
        <v>0.16300000000000001</v>
      </c>
    </row>
    <row r="26" spans="1:4" ht="16.8" x14ac:dyDescent="0.75">
      <c r="A26" t="s">
        <v>39</v>
      </c>
      <c r="B26" s="4">
        <f>B25*(C5-C4)/D4</f>
        <v>2.1112380952380945</v>
      </c>
      <c r="C26" t="s">
        <v>28</v>
      </c>
    </row>
    <row r="28" spans="1:4" x14ac:dyDescent="0.55000000000000004">
      <c r="A28" t="s">
        <v>29</v>
      </c>
      <c r="B28" t="s">
        <v>30</v>
      </c>
    </row>
    <row r="29" spans="1:4" x14ac:dyDescent="0.55000000000000004">
      <c r="A29" t="s">
        <v>27</v>
      </c>
      <c r="B29" s="1">
        <v>0.16300000000000001</v>
      </c>
    </row>
    <row r="30" spans="1:4" ht="16.8" x14ac:dyDescent="0.75">
      <c r="A30" t="s">
        <v>38</v>
      </c>
      <c r="B30" s="4">
        <f>B29*(C5-C4)/D5</f>
        <v>1.7409424083769627</v>
      </c>
      <c r="C30" t="s">
        <v>28</v>
      </c>
    </row>
    <row r="32" spans="1:4" x14ac:dyDescent="0.55000000000000004">
      <c r="A32" t="s">
        <v>31</v>
      </c>
      <c r="B32" t="s">
        <v>32</v>
      </c>
    </row>
    <row r="33" spans="1:3" ht="16.8" x14ac:dyDescent="0.75">
      <c r="A33" t="s">
        <v>40</v>
      </c>
      <c r="B33" s="4">
        <f>B4/C4/60</f>
        <v>5.0973123262279891</v>
      </c>
      <c r="C33" t="s">
        <v>33</v>
      </c>
    </row>
    <row r="34" spans="1:3" ht="16.8" x14ac:dyDescent="0.75">
      <c r="A34" t="s">
        <v>41</v>
      </c>
      <c r="B34" s="4">
        <f>B5/C5/60</f>
        <v>0.34884344979337734</v>
      </c>
      <c r="C34" t="s">
        <v>33</v>
      </c>
    </row>
    <row r="36" spans="1:3" ht="16.8" x14ac:dyDescent="0.75">
      <c r="A36" t="s">
        <v>34</v>
      </c>
      <c r="B36" t="s">
        <v>44</v>
      </c>
    </row>
    <row r="37" spans="1:3" ht="16.8" x14ac:dyDescent="0.75">
      <c r="A37" t="s">
        <v>42</v>
      </c>
      <c r="B37" s="1">
        <v>1</v>
      </c>
      <c r="C37" t="s">
        <v>19</v>
      </c>
    </row>
    <row r="38" spans="1:3" ht="16.8" x14ac:dyDescent="0.75">
      <c r="A38" t="s">
        <v>43</v>
      </c>
      <c r="B38" s="6">
        <f>12*B37/B26</f>
        <v>5.6838686394803339</v>
      </c>
      <c r="C38" t="s">
        <v>10</v>
      </c>
    </row>
    <row r="40" spans="1:3" ht="16.8" x14ac:dyDescent="0.75">
      <c r="A40" t="s">
        <v>35</v>
      </c>
      <c r="B40" t="s">
        <v>45</v>
      </c>
    </row>
    <row r="41" spans="1:3" ht="16.8" x14ac:dyDescent="0.75">
      <c r="A41" t="s">
        <v>46</v>
      </c>
      <c r="B41" s="1">
        <v>1</v>
      </c>
      <c r="C41" t="s">
        <v>19</v>
      </c>
    </row>
    <row r="42" spans="1:3" ht="16.8" x14ac:dyDescent="0.75">
      <c r="A42" t="s">
        <v>43</v>
      </c>
      <c r="B42" s="6">
        <f>12*B41/B30</f>
        <v>6.8928184770840879</v>
      </c>
      <c r="C42" t="s">
        <v>10</v>
      </c>
    </row>
    <row r="44" spans="1:3" x14ac:dyDescent="0.55000000000000004">
      <c r="A44" t="s">
        <v>36</v>
      </c>
      <c r="B44" t="s">
        <v>37</v>
      </c>
    </row>
    <row r="45" spans="1:3" ht="16.8" x14ac:dyDescent="0.75">
      <c r="A45" s="7" t="s">
        <v>50</v>
      </c>
      <c r="B45" t="s">
        <v>51</v>
      </c>
    </row>
    <row r="46" spans="1:3" ht="16.8" x14ac:dyDescent="0.75">
      <c r="A46" t="s">
        <v>54</v>
      </c>
      <c r="B46" s="4">
        <f>C4-C3</f>
        <v>53.252700000000004</v>
      </c>
      <c r="C46" t="s">
        <v>13</v>
      </c>
    </row>
    <row r="47" spans="1:3" ht="16.8" x14ac:dyDescent="0.75">
      <c r="A47" s="7" t="s">
        <v>52</v>
      </c>
      <c r="B47" t="s">
        <v>53</v>
      </c>
    </row>
    <row r="48" spans="1:3" ht="16.8" x14ac:dyDescent="0.75">
      <c r="A48" t="s">
        <v>55</v>
      </c>
      <c r="B48" s="1">
        <v>12</v>
      </c>
      <c r="C48" t="s">
        <v>56</v>
      </c>
    </row>
    <row r="49" spans="1:3" ht="16.8" x14ac:dyDescent="0.75">
      <c r="A49" t="s">
        <v>57</v>
      </c>
      <c r="B49">
        <f>B48+B37*12</f>
        <v>24</v>
      </c>
      <c r="C49" t="s">
        <v>56</v>
      </c>
    </row>
    <row r="51" spans="1:3" ht="16.8" x14ac:dyDescent="0.75">
      <c r="A51" s="7" t="s">
        <v>58</v>
      </c>
      <c r="B51" t="s">
        <v>59</v>
      </c>
    </row>
    <row r="52" spans="1:3" x14ac:dyDescent="0.55000000000000004">
      <c r="A52" t="s">
        <v>60</v>
      </c>
      <c r="B52" s="1">
        <v>9800</v>
      </c>
      <c r="C52" t="s">
        <v>61</v>
      </c>
    </row>
    <row r="54" spans="1:3" ht="16.8" x14ac:dyDescent="0.75">
      <c r="A54" s="7" t="s">
        <v>62</v>
      </c>
      <c r="B54" t="s">
        <v>65</v>
      </c>
    </row>
    <row r="55" spans="1:3" ht="16.8" x14ac:dyDescent="0.75">
      <c r="A55" t="s">
        <v>66</v>
      </c>
      <c r="B55" s="4">
        <f>7.48*60*(B34+B33)/B52</f>
        <v>0.24941170533452953</v>
      </c>
      <c r="C55" t="s">
        <v>64</v>
      </c>
    </row>
    <row r="57" spans="1:3" ht="16.8" x14ac:dyDescent="0.75">
      <c r="A57" s="7" t="s">
        <v>67</v>
      </c>
      <c r="B57" t="s">
        <v>68</v>
      </c>
    </row>
    <row r="58" spans="1:3" ht="16.8" x14ac:dyDescent="0.75">
      <c r="A58" t="s">
        <v>69</v>
      </c>
      <c r="B58" s="1">
        <v>4</v>
      </c>
      <c r="C58" t="s">
        <v>56</v>
      </c>
    </row>
    <row r="60" spans="1:3" ht="16.8" x14ac:dyDescent="0.75">
      <c r="A60" s="7" t="s">
        <v>70</v>
      </c>
      <c r="B60" t="s">
        <v>71</v>
      </c>
    </row>
    <row r="61" spans="1:3" ht="16.8" x14ac:dyDescent="0.75">
      <c r="A61" t="s">
        <v>72</v>
      </c>
      <c r="B61" s="2">
        <f>B58/(12*B22)</f>
        <v>3.1746031746031744E-2</v>
      </c>
    </row>
    <row r="63" spans="1:3" ht="16.8" x14ac:dyDescent="0.75">
      <c r="A63" s="7" t="s">
        <v>76</v>
      </c>
      <c r="B63" t="s">
        <v>77</v>
      </c>
    </row>
    <row r="64" spans="1:3" x14ac:dyDescent="0.55000000000000004">
      <c r="A64" s="9" t="s">
        <v>63</v>
      </c>
      <c r="B64" s="4">
        <f>PI()/4*B22^2</f>
        <v>86.59014751456867</v>
      </c>
      <c r="C64" t="s">
        <v>64</v>
      </c>
    </row>
    <row r="65" spans="1:4" x14ac:dyDescent="0.55000000000000004">
      <c r="A65" s="5" t="s">
        <v>74</v>
      </c>
      <c r="B65">
        <f>2*ACOS(1-2*B61)</f>
        <v>0.71652243702523322</v>
      </c>
    </row>
    <row r="66" spans="1:4" ht="16.8" x14ac:dyDescent="0.75">
      <c r="A66" t="s">
        <v>66</v>
      </c>
      <c r="B66" s="4">
        <f>(B65-SIN(B65))/2/PI()*B64</f>
        <v>0.82351511283665957</v>
      </c>
      <c r="C66" t="s">
        <v>64</v>
      </c>
    </row>
    <row r="67" spans="1:4" ht="16.8" x14ac:dyDescent="0.75">
      <c r="A67" t="s">
        <v>75</v>
      </c>
      <c r="B67" s="4">
        <f>MAX(B55,B66)</f>
        <v>0.82351511283665957</v>
      </c>
      <c r="C67" t="s">
        <v>64</v>
      </c>
    </row>
    <row r="69" spans="1:4" x14ac:dyDescent="0.55000000000000004">
      <c r="A69" s="7" t="s">
        <v>78</v>
      </c>
      <c r="B69" t="s">
        <v>79</v>
      </c>
    </row>
    <row r="70" spans="1:4" ht="16.8" x14ac:dyDescent="0.75">
      <c r="A70" t="s">
        <v>80</v>
      </c>
      <c r="B70" s="4">
        <f>B64-B67</f>
        <v>85.766632401732011</v>
      </c>
      <c r="C70" t="s">
        <v>64</v>
      </c>
    </row>
    <row r="72" spans="1:4" x14ac:dyDescent="0.55000000000000004">
      <c r="A72" t="s">
        <v>81</v>
      </c>
      <c r="B72" t="s">
        <v>82</v>
      </c>
    </row>
    <row r="73" spans="1:4" ht="16.8" x14ac:dyDescent="0.75">
      <c r="A73" s="5" t="s">
        <v>83</v>
      </c>
      <c r="B73" s="4">
        <f>B37*B70/B33</f>
        <v>16.825853883903424</v>
      </c>
      <c r="C73" t="s">
        <v>10</v>
      </c>
    </row>
    <row r="74" spans="1:4" ht="16.8" x14ac:dyDescent="0.75">
      <c r="A74" s="5" t="s">
        <v>84</v>
      </c>
      <c r="B74" s="4">
        <f>B41*B64/B34</f>
        <v>248.22064902137816</v>
      </c>
      <c r="C74" t="s">
        <v>10</v>
      </c>
    </row>
    <row r="76" spans="1:4" x14ac:dyDescent="0.55000000000000004">
      <c r="A76" t="s">
        <v>85</v>
      </c>
      <c r="B76" t="s">
        <v>89</v>
      </c>
    </row>
    <row r="77" spans="1:4" ht="16.8" x14ac:dyDescent="0.75">
      <c r="A77" t="s">
        <v>55</v>
      </c>
      <c r="B77" s="6">
        <f>B33*B8/B70</f>
        <v>1.4858086949106597</v>
      </c>
      <c r="C77" t="s">
        <v>19</v>
      </c>
      <c r="D77" t="s">
        <v>86</v>
      </c>
    </row>
    <row r="78" spans="1:4" ht="16.8" x14ac:dyDescent="0.75">
      <c r="A78" t="s">
        <v>92</v>
      </c>
      <c r="B78" s="4">
        <f>MAX((B33+B34)*B9/B64,0.5)</f>
        <v>0.5</v>
      </c>
      <c r="C78" t="s">
        <v>19</v>
      </c>
      <c r="D78" t="s">
        <v>87</v>
      </c>
    </row>
    <row r="80" spans="1:4" x14ac:dyDescent="0.55000000000000004">
      <c r="A80" t="s">
        <v>88</v>
      </c>
      <c r="B80" t="s">
        <v>90</v>
      </c>
    </row>
    <row r="81" spans="1:4" ht="16.8" x14ac:dyDescent="0.75">
      <c r="B81" t="s">
        <v>95</v>
      </c>
    </row>
    <row r="82" spans="1:4" ht="16.8" x14ac:dyDescent="0.75">
      <c r="A82" s="5" t="s">
        <v>97</v>
      </c>
      <c r="B82" s="3">
        <f>(B3+B4+B5)/(B3/C3+B4/C4+B5/C5)</f>
        <v>0.72680923364432459</v>
      </c>
      <c r="C82" t="s">
        <v>13</v>
      </c>
    </row>
    <row r="83" spans="1:4" ht="16.8" x14ac:dyDescent="0.75">
      <c r="A83" s="5" t="s">
        <v>98</v>
      </c>
      <c r="B83" s="3">
        <f>B18+(B33+B34)/60</f>
        <v>165.41097258686565</v>
      </c>
      <c r="C83" t="s">
        <v>18</v>
      </c>
    </row>
    <row r="84" spans="1:4" ht="16.8" x14ac:dyDescent="0.75">
      <c r="A84" t="s">
        <v>99</v>
      </c>
      <c r="B84" s="3">
        <f>(4*B83/60/PI()/B82^0.5)^0.5</f>
        <v>2.0291141653676208</v>
      </c>
      <c r="C84" t="s">
        <v>19</v>
      </c>
    </row>
    <row r="85" spans="1:4" ht="16.8" x14ac:dyDescent="0.75">
      <c r="A85" t="s">
        <v>100</v>
      </c>
      <c r="B85" s="1">
        <v>24</v>
      </c>
      <c r="C85" t="s">
        <v>56</v>
      </c>
    </row>
    <row r="86" spans="1:4" ht="16.8" x14ac:dyDescent="0.75">
      <c r="A86" t="s">
        <v>91</v>
      </c>
      <c r="B86" s="1">
        <v>6</v>
      </c>
      <c r="C86" t="s">
        <v>56</v>
      </c>
      <c r="D86" t="s">
        <v>93</v>
      </c>
    </row>
    <row r="87" spans="1:4" ht="16.8" x14ac:dyDescent="0.75">
      <c r="A87" t="s">
        <v>94</v>
      </c>
      <c r="B87">
        <f>0.5*B85+MAX(2*12,(B78+0.5)*12)</f>
        <v>36</v>
      </c>
      <c r="C87" t="s">
        <v>56</v>
      </c>
    </row>
    <row r="88" spans="1:4" ht="16.8" x14ac:dyDescent="0.75">
      <c r="A88" t="s">
        <v>101</v>
      </c>
      <c r="B88">
        <f>MAX(0.5*B22*12,24+0.5*B85)</f>
        <v>63</v>
      </c>
      <c r="C88" t="s">
        <v>56</v>
      </c>
    </row>
    <row r="90" spans="1:4" ht="16.8" x14ac:dyDescent="0.75">
      <c r="A90" t="s">
        <v>102</v>
      </c>
      <c r="B90" s="4">
        <f>B37*12+B41*12+B77*12+B86+B87+B88+6+12</f>
        <v>164.82970433892791</v>
      </c>
      <c r="C90" t="s">
        <v>56</v>
      </c>
    </row>
    <row r="91" spans="1:4" ht="16.8" x14ac:dyDescent="0.75">
      <c r="A91" t="s">
        <v>102</v>
      </c>
      <c r="B91" s="4">
        <f>B90/12</f>
        <v>13.735808694910659</v>
      </c>
      <c r="C91" t="s">
        <v>19</v>
      </c>
    </row>
    <row r="93" spans="1:4" ht="16.8" x14ac:dyDescent="0.75">
      <c r="A93" t="s">
        <v>103</v>
      </c>
      <c r="B93" s="4">
        <f>B91/B22</f>
        <v>1.308172256658158</v>
      </c>
    </row>
    <row r="95" spans="1:4" ht="16.8" x14ac:dyDescent="0.75">
      <c r="A95" t="s">
        <v>104</v>
      </c>
    </row>
    <row r="96" spans="1:4" ht="16.8" x14ac:dyDescent="0.75">
      <c r="A96" t="s">
        <v>106</v>
      </c>
      <c r="B96" s="1">
        <v>2</v>
      </c>
      <c r="C96" t="s">
        <v>19</v>
      </c>
    </row>
    <row r="97" spans="1:3" ht="16.8" x14ac:dyDescent="0.75">
      <c r="A97" t="s">
        <v>101</v>
      </c>
      <c r="B97" s="1">
        <v>7</v>
      </c>
      <c r="C97" t="s">
        <v>19</v>
      </c>
    </row>
    <row r="99" spans="1:3" ht="16.8" x14ac:dyDescent="0.75">
      <c r="A99" t="s">
        <v>102</v>
      </c>
      <c r="B99" s="4">
        <f>B91+(B96-B77)+(B97-B88/12)</f>
        <v>16</v>
      </c>
      <c r="C99" t="s">
        <v>19</v>
      </c>
    </row>
    <row r="101" spans="1:3" ht="16.8" x14ac:dyDescent="0.75">
      <c r="A101" t="s">
        <v>103</v>
      </c>
      <c r="B101" s="4">
        <f>B99/B22</f>
        <v>1.5238095238095237</v>
      </c>
      <c r="C101" t="s">
        <v>105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1"/>
  <sheetViews>
    <sheetView tabSelected="1" topLeftCell="A60" zoomScale="115" zoomScaleNormal="115" workbookViewId="0">
      <selection activeCell="D71" sqref="D71"/>
    </sheetView>
  </sheetViews>
  <sheetFormatPr defaultRowHeight="14.4" x14ac:dyDescent="0.55000000000000004"/>
  <cols>
    <col min="1" max="1" width="9.83984375" customWidth="1"/>
    <col min="2" max="2" width="16.20703125" bestFit="1" customWidth="1"/>
    <col min="3" max="3" width="12.26171875" bestFit="1" customWidth="1"/>
    <col min="4" max="4" width="10.734375" bestFit="1" customWidth="1"/>
  </cols>
  <sheetData>
    <row r="2" spans="1:4" x14ac:dyDescent="0.55000000000000004">
      <c r="B2" t="s">
        <v>3</v>
      </c>
      <c r="C2" t="s">
        <v>4</v>
      </c>
      <c r="D2" t="s">
        <v>5</v>
      </c>
    </row>
    <row r="3" spans="1:4" x14ac:dyDescent="0.55000000000000004">
      <c r="A3" t="s">
        <v>0</v>
      </c>
      <c r="B3" s="1">
        <v>235000</v>
      </c>
      <c r="C3" s="1">
        <v>0.19</v>
      </c>
      <c r="D3" s="1"/>
    </row>
    <row r="4" spans="1:4" x14ac:dyDescent="0.55000000000000004">
      <c r="A4" t="s">
        <v>2</v>
      </c>
      <c r="B4" s="1">
        <v>45000</v>
      </c>
      <c r="C4" s="1">
        <v>40.5</v>
      </c>
      <c r="D4" s="1">
        <v>0.24</v>
      </c>
    </row>
    <row r="5" spans="1:4" x14ac:dyDescent="0.55000000000000004">
      <c r="A5" t="s">
        <v>1</v>
      </c>
      <c r="B5" s="1">
        <v>7500</v>
      </c>
      <c r="C5" s="1">
        <v>62</v>
      </c>
      <c r="D5" s="1">
        <v>0.68200000000000005</v>
      </c>
    </row>
    <row r="7" spans="1:4" x14ac:dyDescent="0.55000000000000004">
      <c r="A7" t="s">
        <v>7</v>
      </c>
      <c r="B7" s="1">
        <f>25+14.7</f>
        <v>39.700000000000003</v>
      </c>
      <c r="C7" t="s">
        <v>8</v>
      </c>
    </row>
    <row r="8" spans="1:4" x14ac:dyDescent="0.55000000000000004">
      <c r="A8" t="s">
        <v>9</v>
      </c>
      <c r="B8" s="1">
        <v>10</v>
      </c>
      <c r="C8" t="s">
        <v>10</v>
      </c>
    </row>
    <row r="9" spans="1:4" x14ac:dyDescent="0.55000000000000004">
      <c r="A9" t="s">
        <v>11</v>
      </c>
      <c r="B9" s="1">
        <v>5</v>
      </c>
      <c r="C9" t="s">
        <v>10</v>
      </c>
    </row>
    <row r="10" spans="1:4" x14ac:dyDescent="0.55000000000000004">
      <c r="A10" t="s">
        <v>107</v>
      </c>
      <c r="B10" s="1" t="s">
        <v>108</v>
      </c>
    </row>
    <row r="12" spans="1:4" x14ac:dyDescent="0.55000000000000004">
      <c r="A12" t="s">
        <v>6</v>
      </c>
      <c r="B12" t="s">
        <v>22</v>
      </c>
    </row>
    <row r="13" spans="1:4" x14ac:dyDescent="0.55000000000000004">
      <c r="A13" t="s">
        <v>17</v>
      </c>
      <c r="B13" s="4">
        <f>B3/C3/3600</f>
        <v>343.56725146198835</v>
      </c>
      <c r="C13" t="s">
        <v>18</v>
      </c>
    </row>
    <row r="15" spans="1:4" x14ac:dyDescent="0.55000000000000004">
      <c r="A15" t="s">
        <v>20</v>
      </c>
      <c r="B15" t="s">
        <v>32</v>
      </c>
    </row>
    <row r="16" spans="1:4" ht="16.8" x14ac:dyDescent="0.75">
      <c r="A16" t="s">
        <v>40</v>
      </c>
      <c r="B16" s="4">
        <f>B4/C4/60</f>
        <v>18.518518518518519</v>
      </c>
      <c r="C16" t="s">
        <v>33</v>
      </c>
    </row>
    <row r="17" spans="1:4" ht="16.8" x14ac:dyDescent="0.75">
      <c r="A17" t="s">
        <v>41</v>
      </c>
      <c r="B17" s="4">
        <f>B5/C5/60</f>
        <v>2.0161290322580645</v>
      </c>
      <c r="C17" t="s">
        <v>33</v>
      </c>
    </row>
    <row r="19" spans="1:4" x14ac:dyDescent="0.55000000000000004">
      <c r="A19" t="s">
        <v>23</v>
      </c>
      <c r="B19" t="s">
        <v>21</v>
      </c>
    </row>
    <row r="20" spans="1:4" ht="16.8" x14ac:dyDescent="0.75">
      <c r="A20" s="5" t="s">
        <v>96</v>
      </c>
      <c r="B20" s="6">
        <f>(B4+B5)/(B4/C4+B5/C5)</f>
        <v>42.61090909090909</v>
      </c>
      <c r="C20" t="s">
        <v>13</v>
      </c>
    </row>
    <row r="21" spans="1:4" x14ac:dyDescent="0.55000000000000004">
      <c r="A21" t="s">
        <v>12</v>
      </c>
      <c r="B21" s="3">
        <f>IF(B7&lt;15,0.1821+0.0029*B7+0.046*LN(B7),IF(B7&lt;=40,0.35,0.43-0.023*LN(B7)))</f>
        <v>0.35</v>
      </c>
      <c r="C21" t="s">
        <v>15</v>
      </c>
      <c r="D21" t="s">
        <v>14</v>
      </c>
    </row>
    <row r="22" spans="1:4" x14ac:dyDescent="0.55000000000000004">
      <c r="A22" t="s">
        <v>109</v>
      </c>
      <c r="B22" s="3">
        <f>IF(B10="Yes",B21,B21/2)</f>
        <v>0.17499999999999999</v>
      </c>
    </row>
    <row r="23" spans="1:4" ht="16.8" x14ac:dyDescent="0.75">
      <c r="A23" t="s">
        <v>48</v>
      </c>
      <c r="B23" s="4">
        <f>B22*((C4-C3)/C3)^0.5</f>
        <v>2.5489871569538729</v>
      </c>
      <c r="C23" t="s">
        <v>15</v>
      </c>
    </row>
    <row r="24" spans="1:4" ht="16.8" x14ac:dyDescent="0.75">
      <c r="A24" t="s">
        <v>49</v>
      </c>
      <c r="B24" s="4">
        <f>B23*0.75</f>
        <v>1.9117403677154048</v>
      </c>
      <c r="C24" t="s">
        <v>15</v>
      </c>
      <c r="D24" t="s">
        <v>16</v>
      </c>
    </row>
    <row r="26" spans="1:4" x14ac:dyDescent="0.55000000000000004">
      <c r="A26" t="s">
        <v>25</v>
      </c>
      <c r="B26" t="s">
        <v>110</v>
      </c>
    </row>
    <row r="27" spans="1:4" x14ac:dyDescent="0.55000000000000004">
      <c r="A27" t="s">
        <v>111</v>
      </c>
      <c r="B27" s="6">
        <f>B8*B16</f>
        <v>185.18518518518519</v>
      </c>
      <c r="C27" t="s">
        <v>113</v>
      </c>
    </row>
    <row r="28" spans="1:4" x14ac:dyDescent="0.55000000000000004">
      <c r="A28" t="s">
        <v>112</v>
      </c>
      <c r="B28" s="6">
        <f>B16*B9</f>
        <v>92.592592592592595</v>
      </c>
      <c r="C28" t="s">
        <v>113</v>
      </c>
    </row>
    <row r="30" spans="1:4" x14ac:dyDescent="0.55000000000000004">
      <c r="A30" t="s">
        <v>29</v>
      </c>
      <c r="B30" t="s">
        <v>114</v>
      </c>
    </row>
    <row r="31" spans="1:4" ht="16.8" x14ac:dyDescent="0.75">
      <c r="A31" t="s">
        <v>115</v>
      </c>
      <c r="B31" s="8">
        <v>1.7</v>
      </c>
    </row>
    <row r="32" spans="1:4" ht="16.8" x14ac:dyDescent="0.75">
      <c r="A32" t="s">
        <v>117</v>
      </c>
      <c r="B32" s="10">
        <f>(16*(B27+B28)/0.6/PI()/B31)^(1/3)</f>
        <v>11.152078363742842</v>
      </c>
      <c r="C32" t="s">
        <v>19</v>
      </c>
    </row>
    <row r="33" spans="1:3" ht="16.8" x14ac:dyDescent="0.75">
      <c r="A33" t="s">
        <v>116</v>
      </c>
      <c r="B33" s="8">
        <v>11</v>
      </c>
      <c r="C33" t="s">
        <v>19</v>
      </c>
    </row>
    <row r="34" spans="1:3" ht="16.8" x14ac:dyDescent="0.75">
      <c r="A34" t="s">
        <v>118</v>
      </c>
      <c r="B34" s="10">
        <f>PI()/4*B33^2</f>
        <v>95.033177771091246</v>
      </c>
      <c r="C34" t="s">
        <v>64</v>
      </c>
    </row>
    <row r="36" spans="1:3" x14ac:dyDescent="0.55000000000000004">
      <c r="A36" t="s">
        <v>31</v>
      </c>
      <c r="B36" t="s">
        <v>120</v>
      </c>
    </row>
    <row r="37" spans="1:3" ht="16.8" x14ac:dyDescent="0.75">
      <c r="A37" t="s">
        <v>119</v>
      </c>
      <c r="B37">
        <f>IF(B10="Yes",MAX(0.2*B33,2),MAX(0.2*B33,1))</f>
        <v>2.2000000000000002</v>
      </c>
      <c r="C37" t="s">
        <v>19</v>
      </c>
    </row>
    <row r="38" spans="1:3" ht="16.8" x14ac:dyDescent="0.75">
      <c r="A38" t="s">
        <v>121</v>
      </c>
      <c r="B38" s="4">
        <f>B37/B33</f>
        <v>0.2</v>
      </c>
    </row>
    <row r="39" spans="1:3" x14ac:dyDescent="0.55000000000000004">
      <c r="A39" s="5" t="s">
        <v>74</v>
      </c>
      <c r="B39" s="4">
        <f>2*ACOS(1-2*B38)</f>
        <v>1.8545904360032244</v>
      </c>
    </row>
    <row r="40" spans="1:3" ht="16.8" x14ac:dyDescent="0.75">
      <c r="A40" s="5" t="s">
        <v>122</v>
      </c>
      <c r="B40" s="4">
        <f>(B39-SIN(B39))/2/PI()</f>
        <v>0.14237848993264701</v>
      </c>
    </row>
    <row r="41" spans="1:3" ht="16.8" x14ac:dyDescent="0.75">
      <c r="A41" s="5" t="s">
        <v>123</v>
      </c>
      <c r="B41" s="4">
        <f>B34*B40</f>
        <v>13.530680344548768</v>
      </c>
      <c r="C41" t="s">
        <v>64</v>
      </c>
    </row>
    <row r="43" spans="1:3" x14ac:dyDescent="0.55000000000000004">
      <c r="A43" t="s">
        <v>34</v>
      </c>
      <c r="B43" t="s">
        <v>124</v>
      </c>
    </row>
    <row r="44" spans="1:3" ht="16.8" x14ac:dyDescent="0.75">
      <c r="A44" t="s">
        <v>125</v>
      </c>
      <c r="B44" s="4">
        <f>ROUNDUP(IF(B33&lt;4,9,0.5*B33+7),0)</f>
        <v>13</v>
      </c>
      <c r="C44" t="s">
        <v>56</v>
      </c>
    </row>
    <row r="45" spans="1:3" ht="16.8" x14ac:dyDescent="0.75">
      <c r="A45" t="s">
        <v>126</v>
      </c>
      <c r="B45" s="3">
        <f>B44/(B33*12)</f>
        <v>9.8484848484848481E-2</v>
      </c>
    </row>
    <row r="46" spans="1:3" x14ac:dyDescent="0.55000000000000004">
      <c r="A46" s="5" t="s">
        <v>74</v>
      </c>
      <c r="B46" s="4">
        <f>2*ACOS(1-2*B45)</f>
        <v>1.2768669227777709</v>
      </c>
    </row>
    <row r="47" spans="1:3" ht="16.8" x14ac:dyDescent="0.75">
      <c r="A47" s="5" t="s">
        <v>127</v>
      </c>
      <c r="B47" s="4">
        <f>(B46-SIN(B46))/2/PI()</f>
        <v>5.0890439848543037E-2</v>
      </c>
    </row>
    <row r="48" spans="1:3" ht="16.8" x14ac:dyDescent="0.75">
      <c r="A48" s="5" t="s">
        <v>133</v>
      </c>
      <c r="B48" s="4">
        <f>B47*B34</f>
        <v>4.8362802169756165</v>
      </c>
      <c r="C48" t="s">
        <v>64</v>
      </c>
    </row>
    <row r="50" spans="1:4" x14ac:dyDescent="0.55000000000000004">
      <c r="A50" t="s">
        <v>35</v>
      </c>
      <c r="B50" t="s">
        <v>128</v>
      </c>
    </row>
    <row r="51" spans="1:4" ht="16.8" x14ac:dyDescent="0.75">
      <c r="A51" t="s">
        <v>129</v>
      </c>
      <c r="B51" s="6">
        <f>B33-B37</f>
        <v>8.8000000000000007</v>
      </c>
      <c r="C51" t="s">
        <v>19</v>
      </c>
      <c r="D51" t="s">
        <v>130</v>
      </c>
    </row>
    <row r="53" spans="1:4" x14ac:dyDescent="0.55000000000000004">
      <c r="A53" t="s">
        <v>36</v>
      </c>
      <c r="B53" t="s">
        <v>131</v>
      </c>
    </row>
    <row r="54" spans="1:4" ht="16.8" x14ac:dyDescent="0.75">
      <c r="A54" t="s">
        <v>132</v>
      </c>
      <c r="B54" s="4">
        <f>(B27+B28)/(B34-B41-B48)</f>
        <v>3.6232096468053601</v>
      </c>
      <c r="C54" t="s">
        <v>19</v>
      </c>
    </row>
    <row r="55" spans="1:4" ht="16.8" x14ac:dyDescent="0.75">
      <c r="A55" t="s">
        <v>132</v>
      </c>
      <c r="B55" s="1">
        <v>4</v>
      </c>
      <c r="C55" t="s">
        <v>19</v>
      </c>
      <c r="D55" t="s">
        <v>151</v>
      </c>
    </row>
    <row r="57" spans="1:4" ht="16.8" x14ac:dyDescent="0.75">
      <c r="A57" t="s">
        <v>81</v>
      </c>
      <c r="B57" t="s">
        <v>134</v>
      </c>
    </row>
    <row r="58" spans="1:4" ht="16.8" x14ac:dyDescent="0.75">
      <c r="A58" t="s">
        <v>135</v>
      </c>
      <c r="B58" s="4">
        <f>B51/2</f>
        <v>4.4000000000000004</v>
      </c>
      <c r="C58" t="s">
        <v>19</v>
      </c>
    </row>
    <row r="59" spans="1:4" ht="16.8" x14ac:dyDescent="0.75">
      <c r="A59" t="s">
        <v>136</v>
      </c>
      <c r="B59" s="4">
        <f>B51/2</f>
        <v>4.4000000000000004</v>
      </c>
      <c r="C59" t="s">
        <v>19</v>
      </c>
    </row>
    <row r="61" spans="1:4" x14ac:dyDescent="0.55000000000000004">
      <c r="A61" t="s">
        <v>85</v>
      </c>
      <c r="B61" t="s">
        <v>139</v>
      </c>
    </row>
    <row r="62" spans="1:4" ht="16.8" x14ac:dyDescent="0.75">
      <c r="A62" t="s">
        <v>137</v>
      </c>
      <c r="B62" s="4">
        <f>B58/B33</f>
        <v>0.4</v>
      </c>
    </row>
    <row r="63" spans="1:4" x14ac:dyDescent="0.55000000000000004">
      <c r="A63" s="5" t="s">
        <v>74</v>
      </c>
      <c r="B63" s="4">
        <f>2*ACOS(1-2*B62)</f>
        <v>2.7388768120091314</v>
      </c>
    </row>
    <row r="64" spans="1:4" ht="16.8" x14ac:dyDescent="0.75">
      <c r="A64" s="5" t="s">
        <v>138</v>
      </c>
      <c r="B64" s="4">
        <f>(B63-SIN(B63))/2/PI()</f>
        <v>0.37353003905233095</v>
      </c>
    </row>
    <row r="65" spans="1:7" ht="16.8" x14ac:dyDescent="0.75">
      <c r="A65" s="5" t="s">
        <v>140</v>
      </c>
      <c r="B65" s="4">
        <f>B64*B34</f>
        <v>35.497746604102822</v>
      </c>
      <c r="C65" t="s">
        <v>64</v>
      </c>
    </row>
    <row r="66" spans="1:7" ht="16.8" x14ac:dyDescent="0.75">
      <c r="A66" s="5" t="s">
        <v>141</v>
      </c>
      <c r="B66" s="4">
        <f>B34-B41-B65</f>
        <v>46.004750822439654</v>
      </c>
      <c r="C66" t="s">
        <v>64</v>
      </c>
    </row>
    <row r="68" spans="1:7" x14ac:dyDescent="0.55000000000000004">
      <c r="A68" t="s">
        <v>88</v>
      </c>
      <c r="B68" t="s">
        <v>142</v>
      </c>
    </row>
    <row r="69" spans="1:7" x14ac:dyDescent="0.55000000000000004">
      <c r="A69" t="s">
        <v>27</v>
      </c>
      <c r="B69" s="1">
        <v>0.16300000000000001</v>
      </c>
    </row>
    <row r="70" spans="1:7" ht="16.8" x14ac:dyDescent="0.75">
      <c r="A70" t="s">
        <v>146</v>
      </c>
      <c r="B70" s="4">
        <f>MIN(B69*(C5-C4)/D4,10)</f>
        <v>10</v>
      </c>
      <c r="C70" t="s">
        <v>28</v>
      </c>
    </row>
    <row r="71" spans="1:7" ht="16.8" x14ac:dyDescent="0.75">
      <c r="A71" t="s">
        <v>39</v>
      </c>
      <c r="B71" s="4">
        <f>MIN(B69*(C5-C4)/D5,10)</f>
        <v>5.1385630498533725</v>
      </c>
      <c r="C71" t="s">
        <v>28</v>
      </c>
    </row>
    <row r="73" spans="1:7" ht="16.8" x14ac:dyDescent="0.75">
      <c r="A73" t="s">
        <v>143</v>
      </c>
      <c r="B73" t="s">
        <v>144</v>
      </c>
    </row>
    <row r="74" spans="1:7" ht="16.8" x14ac:dyDescent="0.75">
      <c r="A74" t="s">
        <v>43</v>
      </c>
      <c r="B74" s="6">
        <f>12*B59/B71</f>
        <v>10.275246112141533</v>
      </c>
      <c r="C74" t="s">
        <v>10</v>
      </c>
    </row>
    <row r="75" spans="1:7" ht="16.8" x14ac:dyDescent="0.75">
      <c r="A75" t="s">
        <v>145</v>
      </c>
      <c r="B75" s="6">
        <f>12*B58/B70</f>
        <v>5.28</v>
      </c>
      <c r="C75" t="s">
        <v>10</v>
      </c>
    </row>
    <row r="77" spans="1:7" ht="16.8" x14ac:dyDescent="0.75">
      <c r="A77" t="s">
        <v>147</v>
      </c>
      <c r="B77" t="s">
        <v>148</v>
      </c>
      <c r="C77" s="11"/>
      <c r="D77" s="11"/>
      <c r="E77" s="11"/>
      <c r="F77" s="11"/>
      <c r="G77" s="11"/>
    </row>
    <row r="78" spans="1:7" ht="16.8" x14ac:dyDescent="0.75">
      <c r="A78" t="s">
        <v>149</v>
      </c>
      <c r="B78" s="10">
        <f>MAX(B75*B17/B65,B74*B16/B66)</f>
        <v>4.1361453329992761</v>
      </c>
      <c r="C78" s="11" t="s">
        <v>19</v>
      </c>
      <c r="D78" s="11"/>
      <c r="E78" s="11"/>
      <c r="F78" s="11"/>
      <c r="G78" s="11"/>
    </row>
    <row r="79" spans="1:7" ht="16.8" x14ac:dyDescent="0.75">
      <c r="A79" t="s">
        <v>149</v>
      </c>
      <c r="B79" s="8">
        <v>4.5</v>
      </c>
      <c r="C79" s="11" t="s">
        <v>19</v>
      </c>
      <c r="D79" t="s">
        <v>150</v>
      </c>
      <c r="E79" s="11"/>
      <c r="F79" s="11"/>
      <c r="G79" s="11"/>
    </row>
    <row r="80" spans="1:7" x14ac:dyDescent="0.55000000000000004">
      <c r="A80" s="12"/>
      <c r="B80" s="11"/>
      <c r="C80" s="11"/>
      <c r="D80" s="11"/>
      <c r="E80" s="11"/>
      <c r="F80" s="11"/>
      <c r="G80" s="11"/>
    </row>
    <row r="81" spans="1:7" ht="16.8" x14ac:dyDescent="0.75">
      <c r="A81" t="s">
        <v>152</v>
      </c>
      <c r="B81" t="s">
        <v>153</v>
      </c>
      <c r="C81" s="11"/>
      <c r="D81" s="11"/>
      <c r="E81" s="11"/>
      <c r="F81" s="11"/>
      <c r="G81" s="11"/>
    </row>
    <row r="82" spans="1:7" x14ac:dyDescent="0.55000000000000004">
      <c r="A82" s="11" t="s">
        <v>154</v>
      </c>
      <c r="B82" s="10">
        <f>B79+B55</f>
        <v>8.5</v>
      </c>
      <c r="C82" s="11" t="s">
        <v>19</v>
      </c>
      <c r="D82" s="11"/>
      <c r="E82" s="11"/>
      <c r="F82" s="11"/>
      <c r="G82" s="11"/>
    </row>
    <row r="83" spans="1:7" x14ac:dyDescent="0.55000000000000004">
      <c r="A83" s="11"/>
      <c r="B83" s="11"/>
      <c r="C83" s="11"/>
      <c r="D83" s="11"/>
      <c r="E83" s="11"/>
      <c r="F83" s="11"/>
      <c r="G83" s="11"/>
    </row>
    <row r="84" spans="1:7" ht="16.8" x14ac:dyDescent="0.75">
      <c r="A84" t="s">
        <v>155</v>
      </c>
      <c r="B84" s="11" t="s">
        <v>156</v>
      </c>
      <c r="C84" s="11"/>
      <c r="D84" s="11"/>
      <c r="E84" s="11"/>
      <c r="F84" s="11"/>
      <c r="G84" s="11"/>
    </row>
    <row r="85" spans="1:7" x14ac:dyDescent="0.55000000000000004">
      <c r="A85" s="16" t="s">
        <v>157</v>
      </c>
      <c r="B85" s="10">
        <f>B37/B24</f>
        <v>1.1507838810921147</v>
      </c>
      <c r="C85" s="11" t="s">
        <v>158</v>
      </c>
      <c r="D85" s="11"/>
      <c r="E85" s="11"/>
      <c r="F85" s="11"/>
      <c r="G85" s="11"/>
    </row>
    <row r="86" spans="1:7" x14ac:dyDescent="0.55000000000000004">
      <c r="A86" s="11"/>
      <c r="B86" s="11"/>
      <c r="C86" s="11"/>
      <c r="D86" s="11"/>
      <c r="E86" s="11"/>
      <c r="F86" s="11"/>
      <c r="G86" s="11"/>
    </row>
    <row r="87" spans="1:7" ht="16.8" x14ac:dyDescent="0.75">
      <c r="A87" t="s">
        <v>159</v>
      </c>
      <c r="B87" s="11" t="s">
        <v>161</v>
      </c>
      <c r="C87" s="11"/>
      <c r="D87" s="11"/>
      <c r="E87" s="11"/>
      <c r="F87" s="11"/>
      <c r="G87" s="11"/>
    </row>
    <row r="88" spans="1:7" ht="16.8" x14ac:dyDescent="0.75">
      <c r="A88" s="11" t="s">
        <v>160</v>
      </c>
      <c r="B88" s="13">
        <f>B13/B41</f>
        <v>25.391720350588617</v>
      </c>
      <c r="C88" s="11" t="s">
        <v>15</v>
      </c>
      <c r="D88" s="11"/>
      <c r="E88" s="11"/>
      <c r="F88" s="11"/>
      <c r="G88" s="11"/>
    </row>
    <row r="89" spans="1:7" x14ac:dyDescent="0.55000000000000004">
      <c r="A89" s="11"/>
      <c r="B89" s="11"/>
      <c r="C89" s="11"/>
      <c r="D89" s="11"/>
      <c r="E89" s="11"/>
      <c r="F89" s="11"/>
      <c r="G89" s="11"/>
    </row>
    <row r="90" spans="1:7" ht="16.8" x14ac:dyDescent="0.75">
      <c r="A90" t="s">
        <v>162</v>
      </c>
      <c r="B90" s="11" t="s">
        <v>163</v>
      </c>
      <c r="C90" s="11"/>
      <c r="D90" s="11"/>
      <c r="E90" s="11"/>
      <c r="F90" s="11"/>
      <c r="G90" s="11"/>
    </row>
    <row r="91" spans="1:7" ht="16.8" x14ac:dyDescent="0.75">
      <c r="A91" s="11" t="s">
        <v>164</v>
      </c>
      <c r="B91" s="13">
        <f>B85*B88</f>
        <v>29.220382492656</v>
      </c>
      <c r="C91" s="11" t="s">
        <v>19</v>
      </c>
      <c r="D91" s="11"/>
      <c r="E91" s="11"/>
      <c r="F91" s="11"/>
      <c r="G91" s="11"/>
    </row>
    <row r="92" spans="1:7" x14ac:dyDescent="0.55000000000000004">
      <c r="A92" s="11"/>
      <c r="B92" s="11"/>
      <c r="C92" s="11"/>
      <c r="D92" s="11"/>
      <c r="E92" s="11"/>
      <c r="F92" s="11"/>
      <c r="G92" s="11"/>
    </row>
    <row r="93" spans="1:7" x14ac:dyDescent="0.55000000000000004">
      <c r="A93" s="12"/>
      <c r="B93" s="11"/>
      <c r="C93" s="11"/>
      <c r="D93" s="11"/>
      <c r="E93" s="11"/>
      <c r="F93" s="11"/>
      <c r="G93" s="11"/>
    </row>
    <row r="94" spans="1:7" x14ac:dyDescent="0.55000000000000004">
      <c r="A94" s="11"/>
      <c r="B94" s="14"/>
      <c r="C94" s="11"/>
      <c r="D94" s="11"/>
      <c r="E94" s="11"/>
      <c r="F94" s="11"/>
      <c r="G94" s="11"/>
    </row>
    <row r="95" spans="1:7" x14ac:dyDescent="0.55000000000000004">
      <c r="A95" s="11"/>
      <c r="B95" s="11"/>
      <c r="C95" s="11"/>
      <c r="D95" s="11"/>
      <c r="E95" s="11"/>
      <c r="F95" s="11"/>
      <c r="G95" s="11"/>
    </row>
    <row r="96" spans="1:7" x14ac:dyDescent="0.55000000000000004">
      <c r="A96" s="12"/>
      <c r="B96" s="11"/>
      <c r="C96" s="11"/>
      <c r="D96" s="11"/>
      <c r="E96" s="11"/>
      <c r="F96" s="11"/>
      <c r="G96" s="11"/>
    </row>
    <row r="97" spans="1:7" x14ac:dyDescent="0.55000000000000004">
      <c r="A97" s="15"/>
      <c r="B97" s="13"/>
      <c r="C97" s="11"/>
      <c r="D97" s="11"/>
      <c r="E97" s="11"/>
      <c r="F97" s="11"/>
      <c r="G97" s="11"/>
    </row>
    <row r="98" spans="1:7" x14ac:dyDescent="0.55000000000000004">
      <c r="A98" s="16"/>
      <c r="B98" s="11"/>
      <c r="C98" s="11"/>
      <c r="D98" s="11"/>
      <c r="E98" s="11"/>
      <c r="F98" s="11"/>
      <c r="G98" s="11"/>
    </row>
    <row r="99" spans="1:7" x14ac:dyDescent="0.55000000000000004">
      <c r="A99" s="11"/>
      <c r="B99" s="13"/>
      <c r="C99" s="11"/>
      <c r="D99" s="11"/>
      <c r="E99" s="11"/>
      <c r="F99" s="11"/>
      <c r="G99" s="11"/>
    </row>
    <row r="100" spans="1:7" x14ac:dyDescent="0.55000000000000004">
      <c r="A100" s="11"/>
      <c r="B100" s="13"/>
      <c r="C100" s="11"/>
      <c r="D100" s="11"/>
      <c r="E100" s="11"/>
      <c r="F100" s="11"/>
      <c r="G100" s="11"/>
    </row>
    <row r="101" spans="1:7" x14ac:dyDescent="0.55000000000000004">
      <c r="A101" s="11"/>
      <c r="B101" s="11"/>
      <c r="C101" s="11"/>
      <c r="D101" s="11"/>
      <c r="E101" s="11"/>
      <c r="F101" s="11"/>
      <c r="G101" s="11"/>
    </row>
    <row r="102" spans="1:7" x14ac:dyDescent="0.55000000000000004">
      <c r="A102" s="12"/>
      <c r="B102" s="11"/>
      <c r="C102" s="11"/>
      <c r="D102" s="11"/>
      <c r="E102" s="11"/>
      <c r="F102" s="11"/>
      <c r="G102" s="11"/>
    </row>
    <row r="103" spans="1:7" x14ac:dyDescent="0.55000000000000004">
      <c r="A103" s="11"/>
      <c r="B103" s="13"/>
      <c r="C103" s="11"/>
      <c r="D103" s="11"/>
      <c r="E103" s="11"/>
      <c r="F103" s="11"/>
      <c r="G103" s="11"/>
    </row>
    <row r="104" spans="1:7" x14ac:dyDescent="0.55000000000000004">
      <c r="A104" s="11"/>
      <c r="B104" s="11"/>
      <c r="C104" s="11"/>
      <c r="D104" s="11"/>
      <c r="E104" s="11"/>
      <c r="F104" s="11"/>
      <c r="G104" s="11"/>
    </row>
    <row r="105" spans="1:7" x14ac:dyDescent="0.55000000000000004">
      <c r="A105" s="11"/>
      <c r="B105" s="11"/>
      <c r="C105" s="11"/>
      <c r="D105" s="11"/>
      <c r="E105" s="11"/>
      <c r="F105" s="11"/>
      <c r="G105" s="11"/>
    </row>
    <row r="106" spans="1:7" x14ac:dyDescent="0.55000000000000004">
      <c r="A106" s="16"/>
      <c r="B106" s="13"/>
      <c r="C106" s="11"/>
      <c r="D106" s="11"/>
      <c r="E106" s="11"/>
      <c r="F106" s="11"/>
      <c r="G106" s="11"/>
    </row>
    <row r="107" spans="1:7" x14ac:dyDescent="0.55000000000000004">
      <c r="A107" s="16"/>
      <c r="B107" s="13"/>
      <c r="C107" s="11"/>
      <c r="D107" s="11"/>
      <c r="E107" s="11"/>
      <c r="F107" s="11"/>
      <c r="G107" s="11"/>
    </row>
    <row r="108" spans="1:7" x14ac:dyDescent="0.55000000000000004">
      <c r="A108" s="11"/>
      <c r="B108" s="11"/>
      <c r="C108" s="11"/>
      <c r="D108" s="11"/>
      <c r="E108" s="11"/>
      <c r="F108" s="11"/>
      <c r="G108" s="11"/>
    </row>
    <row r="109" spans="1:7" x14ac:dyDescent="0.55000000000000004">
      <c r="A109" s="11"/>
      <c r="B109" s="11"/>
      <c r="C109" s="11"/>
      <c r="D109" s="11"/>
      <c r="E109" s="11"/>
      <c r="F109" s="11"/>
      <c r="G109" s="11"/>
    </row>
    <row r="110" spans="1:7" x14ac:dyDescent="0.55000000000000004">
      <c r="A110" s="11"/>
      <c r="B110" s="10"/>
      <c r="C110" s="11"/>
      <c r="D110" s="11"/>
      <c r="E110" s="11"/>
      <c r="F110" s="11"/>
      <c r="G110" s="11"/>
    </row>
    <row r="111" spans="1:7" x14ac:dyDescent="0.55000000000000004">
      <c r="A111" s="11"/>
      <c r="B111" s="13"/>
      <c r="C111" s="11"/>
      <c r="D111" s="11"/>
      <c r="E111" s="11"/>
      <c r="F111" s="11"/>
      <c r="G111" s="11"/>
    </row>
    <row r="112" spans="1:7" x14ac:dyDescent="0.55000000000000004">
      <c r="A112" s="11"/>
      <c r="B112" s="11"/>
      <c r="C112" s="11"/>
      <c r="D112" s="11"/>
      <c r="E112" s="11"/>
      <c r="F112" s="11"/>
      <c r="G112" s="11"/>
    </row>
    <row r="113" spans="1:7" x14ac:dyDescent="0.55000000000000004">
      <c r="A113" s="11"/>
      <c r="B113" s="11"/>
      <c r="C113" s="11"/>
      <c r="D113" s="11"/>
      <c r="E113" s="11"/>
      <c r="F113" s="11"/>
      <c r="G113" s="11"/>
    </row>
    <row r="114" spans="1:7" x14ac:dyDescent="0.55000000000000004">
      <c r="A114" s="11"/>
      <c r="B114" s="11"/>
      <c r="C114" s="11"/>
      <c r="D114" s="11"/>
      <c r="E114" s="11"/>
      <c r="F114" s="11"/>
      <c r="G114" s="11"/>
    </row>
    <row r="115" spans="1:7" x14ac:dyDescent="0.55000000000000004">
      <c r="A115" s="16"/>
      <c r="B115" s="17"/>
      <c r="C115" s="11"/>
      <c r="D115" s="11"/>
      <c r="E115" s="11"/>
      <c r="F115" s="11"/>
      <c r="G115" s="11"/>
    </row>
    <row r="116" spans="1:7" x14ac:dyDescent="0.55000000000000004">
      <c r="A116" s="16"/>
      <c r="B116" s="17"/>
      <c r="C116" s="11"/>
      <c r="D116" s="11"/>
      <c r="E116" s="11"/>
      <c r="F116" s="11"/>
      <c r="G116" s="11"/>
    </row>
    <row r="117" spans="1:7" x14ac:dyDescent="0.55000000000000004">
      <c r="A117" s="11"/>
      <c r="B117" s="17"/>
      <c r="C117" s="11"/>
      <c r="D117" s="11"/>
      <c r="E117" s="11"/>
      <c r="F117" s="11"/>
      <c r="G117" s="11"/>
    </row>
    <row r="118" spans="1:7" x14ac:dyDescent="0.55000000000000004">
      <c r="A118" s="11"/>
      <c r="B118" s="11"/>
      <c r="C118" s="11"/>
      <c r="D118" s="11"/>
      <c r="E118" s="11"/>
      <c r="F118" s="11"/>
      <c r="G118" s="11"/>
    </row>
    <row r="119" spans="1:7" x14ac:dyDescent="0.55000000000000004">
      <c r="A119" s="11"/>
      <c r="B119" s="11"/>
      <c r="C119" s="11"/>
      <c r="D119" s="11"/>
      <c r="E119" s="11"/>
      <c r="F119" s="11"/>
      <c r="G119" s="11"/>
    </row>
    <row r="120" spans="1:7" x14ac:dyDescent="0.55000000000000004">
      <c r="A120" s="11"/>
      <c r="B120" s="11"/>
      <c r="C120" s="11"/>
      <c r="D120" s="11"/>
      <c r="E120" s="11"/>
      <c r="F120" s="11"/>
      <c r="G120" s="11"/>
    </row>
    <row r="121" spans="1:7" x14ac:dyDescent="0.55000000000000004">
      <c r="A121" s="11"/>
      <c r="B121" s="11"/>
      <c r="C121" s="11"/>
      <c r="D121" s="11"/>
      <c r="E121" s="11"/>
      <c r="F121" s="11"/>
      <c r="G121" s="11"/>
    </row>
    <row r="122" spans="1:7" x14ac:dyDescent="0.55000000000000004">
      <c r="A122" s="11"/>
      <c r="B122" s="11"/>
      <c r="C122" s="11"/>
      <c r="D122" s="11"/>
      <c r="E122" s="11"/>
      <c r="F122" s="11"/>
      <c r="G122" s="11"/>
    </row>
    <row r="123" spans="1:7" x14ac:dyDescent="0.55000000000000004">
      <c r="A123" s="11"/>
      <c r="B123" s="13"/>
      <c r="C123" s="11"/>
      <c r="D123" s="11"/>
      <c r="E123" s="11"/>
      <c r="F123" s="11"/>
      <c r="G123" s="11"/>
    </row>
    <row r="124" spans="1:7" x14ac:dyDescent="0.55000000000000004">
      <c r="A124" s="11"/>
      <c r="B124" s="13"/>
      <c r="C124" s="11"/>
      <c r="D124" s="11"/>
      <c r="E124" s="11"/>
      <c r="F124" s="11"/>
      <c r="G124" s="11"/>
    </row>
    <row r="125" spans="1:7" x14ac:dyDescent="0.55000000000000004">
      <c r="A125" s="11"/>
      <c r="B125" s="11"/>
      <c r="C125" s="11"/>
      <c r="D125" s="11"/>
      <c r="E125" s="11"/>
      <c r="F125" s="11"/>
      <c r="G125" s="11"/>
    </row>
    <row r="126" spans="1:7" x14ac:dyDescent="0.55000000000000004">
      <c r="A126" s="11"/>
      <c r="B126" s="13"/>
      <c r="C126" s="11"/>
      <c r="D126" s="11"/>
      <c r="E126" s="11"/>
      <c r="F126" s="11"/>
      <c r="G126" s="11"/>
    </row>
    <row r="127" spans="1:7" x14ac:dyDescent="0.55000000000000004">
      <c r="A127" s="11"/>
      <c r="B127" s="11"/>
      <c r="C127" s="11"/>
      <c r="D127" s="11"/>
      <c r="E127" s="11"/>
      <c r="F127" s="11"/>
      <c r="G127" s="11"/>
    </row>
    <row r="128" spans="1:7" x14ac:dyDescent="0.55000000000000004">
      <c r="A128" s="11"/>
      <c r="B128" s="11"/>
      <c r="C128" s="11"/>
      <c r="D128" s="11"/>
      <c r="E128" s="11"/>
      <c r="F128" s="11"/>
      <c r="G128" s="11"/>
    </row>
    <row r="129" spans="1:7" x14ac:dyDescent="0.55000000000000004">
      <c r="A129" s="11"/>
      <c r="B129" s="11"/>
      <c r="C129" s="11"/>
      <c r="D129" s="11"/>
      <c r="E129" s="11"/>
      <c r="F129" s="11"/>
      <c r="G129" s="11"/>
    </row>
    <row r="130" spans="1:7" x14ac:dyDescent="0.55000000000000004">
      <c r="A130" s="11"/>
      <c r="B130" s="11"/>
      <c r="C130" s="11"/>
      <c r="D130" s="11"/>
      <c r="E130" s="11"/>
      <c r="F130" s="11"/>
      <c r="G130" s="11"/>
    </row>
    <row r="131" spans="1:7" x14ac:dyDescent="0.55000000000000004">
      <c r="A131" s="11"/>
      <c r="B131" s="11"/>
      <c r="C131" s="11"/>
      <c r="D131" s="11"/>
      <c r="E131" s="11"/>
      <c r="F131" s="11"/>
      <c r="G131" s="11"/>
    </row>
    <row r="132" spans="1:7" x14ac:dyDescent="0.55000000000000004">
      <c r="A132" s="11"/>
      <c r="B132" s="13"/>
      <c r="C132" s="11"/>
      <c r="D132" s="11"/>
      <c r="E132" s="11"/>
      <c r="F132" s="11"/>
      <c r="G132" s="11"/>
    </row>
    <row r="133" spans="1:7" x14ac:dyDescent="0.55000000000000004">
      <c r="A133" s="11"/>
      <c r="B133" s="11"/>
      <c r="C133" s="11"/>
      <c r="D133" s="11"/>
      <c r="E133" s="11"/>
      <c r="F133" s="11"/>
      <c r="G133" s="11"/>
    </row>
    <row r="134" spans="1:7" x14ac:dyDescent="0.55000000000000004">
      <c r="A134" s="11"/>
      <c r="B134" s="13"/>
      <c r="C134" s="11"/>
      <c r="D134" s="11"/>
      <c r="E134" s="11"/>
      <c r="F134" s="11"/>
      <c r="G134" s="11"/>
    </row>
    <row r="135" spans="1:7" x14ac:dyDescent="0.55000000000000004">
      <c r="A135" s="11"/>
      <c r="B135" s="11"/>
      <c r="C135" s="11"/>
      <c r="D135" s="11"/>
      <c r="E135" s="11"/>
      <c r="F135" s="11"/>
      <c r="G135" s="11"/>
    </row>
    <row r="136" spans="1:7" x14ac:dyDescent="0.55000000000000004">
      <c r="A136" s="11"/>
      <c r="B136" s="11"/>
      <c r="C136" s="11"/>
      <c r="D136" s="11"/>
      <c r="E136" s="11"/>
      <c r="F136" s="11"/>
      <c r="G136" s="11"/>
    </row>
    <row r="137" spans="1:7" x14ac:dyDescent="0.55000000000000004">
      <c r="A137" s="11"/>
      <c r="B137" s="11"/>
      <c r="C137" s="11"/>
      <c r="D137" s="11"/>
      <c r="E137" s="11"/>
      <c r="F137" s="11"/>
      <c r="G137" s="11"/>
    </row>
    <row r="138" spans="1:7" x14ac:dyDescent="0.55000000000000004">
      <c r="A138" s="11"/>
      <c r="B138" s="11"/>
      <c r="C138" s="11"/>
      <c r="D138" s="11"/>
      <c r="E138" s="11"/>
      <c r="F138" s="11"/>
      <c r="G138" s="11"/>
    </row>
    <row r="139" spans="1:7" x14ac:dyDescent="0.55000000000000004">
      <c r="A139" s="11"/>
      <c r="B139" s="11"/>
      <c r="C139" s="11"/>
      <c r="D139" s="11"/>
      <c r="E139" s="11"/>
      <c r="F139" s="11"/>
      <c r="G139" s="11"/>
    </row>
    <row r="140" spans="1:7" x14ac:dyDescent="0.55000000000000004">
      <c r="A140" s="11"/>
      <c r="B140" s="11"/>
      <c r="C140" s="11"/>
      <c r="D140" s="11"/>
      <c r="E140" s="11"/>
      <c r="F140" s="11"/>
      <c r="G140" s="11"/>
    </row>
    <row r="141" spans="1:7" x14ac:dyDescent="0.55000000000000004">
      <c r="A141" s="11"/>
      <c r="B141" s="11"/>
      <c r="C141" s="11"/>
      <c r="D141" s="11"/>
      <c r="E141" s="11"/>
      <c r="F141" s="11"/>
      <c r="G141" s="11"/>
    </row>
    <row r="142" spans="1:7" x14ac:dyDescent="0.55000000000000004">
      <c r="A142" s="11"/>
      <c r="B142" s="11"/>
      <c r="C142" s="11"/>
      <c r="D142" s="11"/>
      <c r="E142" s="11"/>
      <c r="F142" s="11"/>
      <c r="G142" s="11"/>
    </row>
    <row r="143" spans="1:7" x14ac:dyDescent="0.55000000000000004">
      <c r="A143" s="11"/>
      <c r="B143" s="11"/>
      <c r="C143" s="11"/>
      <c r="D143" s="11"/>
      <c r="E143" s="11"/>
      <c r="F143" s="11"/>
      <c r="G143" s="11"/>
    </row>
    <row r="144" spans="1:7" x14ac:dyDescent="0.55000000000000004">
      <c r="A144" s="11"/>
      <c r="B144" s="11"/>
      <c r="C144" s="11"/>
      <c r="D144" s="11"/>
      <c r="E144" s="11"/>
      <c r="F144" s="11"/>
      <c r="G144" s="11"/>
    </row>
    <row r="145" spans="1:7" x14ac:dyDescent="0.55000000000000004">
      <c r="A145" s="11"/>
      <c r="B145" s="11"/>
      <c r="C145" s="11"/>
      <c r="D145" s="11"/>
      <c r="E145" s="11"/>
      <c r="F145" s="11"/>
      <c r="G145" s="11"/>
    </row>
    <row r="146" spans="1:7" x14ac:dyDescent="0.55000000000000004">
      <c r="A146" s="11"/>
      <c r="B146" s="11"/>
      <c r="C146" s="11"/>
      <c r="D146" s="11"/>
      <c r="E146" s="11"/>
      <c r="F146" s="11"/>
      <c r="G146" s="11"/>
    </row>
    <row r="147" spans="1:7" x14ac:dyDescent="0.55000000000000004">
      <c r="A147" s="11"/>
      <c r="B147" s="11"/>
      <c r="C147" s="11"/>
      <c r="D147" s="11"/>
      <c r="E147" s="11"/>
      <c r="F147" s="11"/>
      <c r="G147" s="11"/>
    </row>
    <row r="148" spans="1:7" x14ac:dyDescent="0.55000000000000004">
      <c r="A148" s="11"/>
      <c r="B148" s="11"/>
      <c r="C148" s="11"/>
      <c r="D148" s="11"/>
      <c r="E148" s="11"/>
      <c r="F148" s="11"/>
      <c r="G148" s="11"/>
    </row>
    <row r="149" spans="1:7" x14ac:dyDescent="0.55000000000000004">
      <c r="A149" s="11"/>
      <c r="B149" s="11"/>
      <c r="C149" s="11"/>
      <c r="D149" s="11"/>
      <c r="E149" s="11"/>
      <c r="F149" s="11"/>
      <c r="G149" s="11"/>
    </row>
    <row r="150" spans="1:7" x14ac:dyDescent="0.55000000000000004">
      <c r="A150" s="11"/>
      <c r="B150" s="11"/>
      <c r="C150" s="11"/>
      <c r="D150" s="11"/>
      <c r="E150" s="11"/>
      <c r="F150" s="11"/>
      <c r="G150" s="11"/>
    </row>
    <row r="151" spans="1:7" x14ac:dyDescent="0.55000000000000004">
      <c r="A151" s="11"/>
      <c r="B151" s="11"/>
      <c r="C151" s="11"/>
      <c r="D151" s="11"/>
      <c r="E151" s="11"/>
      <c r="F151" s="11"/>
      <c r="G151" s="11"/>
    </row>
    <row r="152" spans="1:7" x14ac:dyDescent="0.55000000000000004">
      <c r="A152" s="11"/>
      <c r="B152" s="11"/>
      <c r="C152" s="11"/>
      <c r="D152" s="11"/>
      <c r="E152" s="11"/>
      <c r="F152" s="11"/>
      <c r="G152" s="11"/>
    </row>
    <row r="153" spans="1:7" x14ac:dyDescent="0.55000000000000004">
      <c r="A153" s="11"/>
      <c r="B153" s="11"/>
      <c r="C153" s="11"/>
      <c r="D153" s="11"/>
      <c r="E153" s="11"/>
      <c r="F153" s="11"/>
      <c r="G153" s="11"/>
    </row>
    <row r="154" spans="1:7" x14ac:dyDescent="0.55000000000000004">
      <c r="A154" s="11"/>
      <c r="B154" s="11"/>
      <c r="C154" s="11"/>
      <c r="D154" s="11"/>
      <c r="E154" s="11"/>
      <c r="F154" s="11"/>
      <c r="G154" s="11"/>
    </row>
    <row r="155" spans="1:7" x14ac:dyDescent="0.55000000000000004">
      <c r="A155" s="11"/>
      <c r="B155" s="11"/>
      <c r="C155" s="11"/>
      <c r="D155" s="11"/>
      <c r="E155" s="11"/>
      <c r="F155" s="11"/>
      <c r="G155" s="11"/>
    </row>
    <row r="156" spans="1:7" x14ac:dyDescent="0.55000000000000004">
      <c r="A156" s="11"/>
      <c r="B156" s="11"/>
      <c r="C156" s="11"/>
      <c r="D156" s="11"/>
      <c r="E156" s="11"/>
      <c r="F156" s="11"/>
      <c r="G156" s="11"/>
    </row>
    <row r="157" spans="1:7" x14ac:dyDescent="0.55000000000000004">
      <c r="A157" s="11"/>
      <c r="B157" s="11"/>
      <c r="C157" s="11"/>
      <c r="D157" s="11"/>
      <c r="E157" s="11"/>
      <c r="F157" s="11"/>
      <c r="G157" s="11"/>
    </row>
    <row r="158" spans="1:7" x14ac:dyDescent="0.55000000000000004">
      <c r="A158" s="11"/>
      <c r="B158" s="11"/>
      <c r="C158" s="11"/>
      <c r="D158" s="11"/>
      <c r="E158" s="11"/>
      <c r="F158" s="11"/>
      <c r="G158" s="11"/>
    </row>
    <row r="159" spans="1:7" x14ac:dyDescent="0.55000000000000004">
      <c r="A159" s="11"/>
      <c r="B159" s="11"/>
      <c r="C159" s="11"/>
      <c r="D159" s="11"/>
      <c r="E159" s="11"/>
      <c r="F159" s="11"/>
      <c r="G159" s="11"/>
    </row>
    <row r="160" spans="1:7" x14ac:dyDescent="0.55000000000000004">
      <c r="A160" s="11"/>
      <c r="B160" s="11"/>
      <c r="C160" s="11"/>
      <c r="D160" s="11"/>
      <c r="E160" s="11"/>
      <c r="F160" s="11"/>
      <c r="G160" s="11"/>
    </row>
    <row r="161" spans="1:7" x14ac:dyDescent="0.55000000000000004">
      <c r="A161" s="11"/>
      <c r="B161" s="11"/>
      <c r="C161" s="11"/>
      <c r="D161" s="11"/>
      <c r="E161" s="11"/>
      <c r="F161" s="11"/>
      <c r="G161" s="1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Vertical with Demister</vt:lpstr>
      <vt:lpstr>Horizntal with Weir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SAMSYSTEM</dc:creator>
  <cp:lastModifiedBy>SAMSYSTEM</cp:lastModifiedBy>
  <dcterms:created xsi:type="dcterms:W3CDTF">2022-01-07T16:09:25Z</dcterms:created>
  <dcterms:modified xsi:type="dcterms:W3CDTF">2022-01-14T16:28:59Z</dcterms:modified>
</cp:coreProperties>
</file>