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Manuals\Tutorial\FLARE\MEKPCO Senario Seperation\Inadvartent valve opening\"/>
    </mc:Choice>
  </mc:AlternateContent>
  <xr:revisionPtr revIDLastSave="0" documentId="13_ncr:1_{3785848D-764C-4560-BFC6-D464C0070CAE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Conventional-critical" sheetId="3" r:id="rId1"/>
    <sheet name="Sheet1" sheetId="1" r:id="rId2"/>
    <sheet name="PSV-1008-1009" sheetId="4" r:id="rId3"/>
    <sheet name="PSV-1013-1014" sheetId="5" r:id="rId4"/>
    <sheet name="PSV-2604-2605" sheetId="6" r:id="rId5"/>
    <sheet name="PSV-3173-3174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7" l="1"/>
  <c r="B23" i="7"/>
  <c r="B27" i="7"/>
  <c r="B26" i="7"/>
  <c r="B25" i="7"/>
  <c r="B24" i="7"/>
  <c r="B16" i="7"/>
  <c r="B14" i="7"/>
  <c r="B13" i="7"/>
  <c r="B15" i="7" s="1"/>
  <c r="B22" i="7" s="1"/>
  <c r="B11" i="7"/>
  <c r="B16" i="6"/>
  <c r="B14" i="6"/>
  <c r="B15" i="6" s="1"/>
  <c r="B22" i="6" s="1"/>
  <c r="B13" i="6"/>
  <c r="B11" i="6"/>
  <c r="B16" i="5"/>
  <c r="B20" i="5" s="1"/>
  <c r="B21" i="5" s="1"/>
  <c r="B14" i="5"/>
  <c r="B13" i="5"/>
  <c r="B11" i="5"/>
  <c r="B20" i="4"/>
  <c r="B16" i="4"/>
  <c r="B14" i="4"/>
  <c r="B13" i="4"/>
  <c r="B15" i="4" s="1"/>
  <c r="B22" i="4" s="1"/>
  <c r="B11" i="4"/>
  <c r="B17" i="3"/>
  <c r="B21" i="3" s="1"/>
  <c r="B22" i="3" s="1"/>
  <c r="J16" i="3"/>
  <c r="B15" i="3"/>
  <c r="B14" i="3"/>
  <c r="B16" i="3" s="1"/>
  <c r="B23" i="3" s="1"/>
  <c r="B12" i="3"/>
  <c r="AO3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2" i="1"/>
  <c r="AN3" i="1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2" i="1"/>
  <c r="AA10" i="1"/>
  <c r="P10" i="1" s="1"/>
  <c r="AA9" i="1"/>
  <c r="P9" i="1"/>
  <c r="AA15" i="1"/>
  <c r="AA14" i="1"/>
  <c r="P14" i="1"/>
  <c r="P15" i="1"/>
  <c r="AA13" i="1"/>
  <c r="P13" i="1" s="1"/>
  <c r="P5" i="1"/>
  <c r="P4" i="1"/>
  <c r="P22" i="1"/>
  <c r="N4" i="1"/>
  <c r="N5" i="1"/>
  <c r="AA27" i="1"/>
  <c r="P27" i="1" s="1"/>
  <c r="AA28" i="1"/>
  <c r="P28" i="1" s="1"/>
  <c r="AA29" i="1"/>
  <c r="P29" i="1" s="1"/>
  <c r="AA30" i="1"/>
  <c r="P30" i="1" s="1"/>
  <c r="AA26" i="1"/>
  <c r="P26" i="1" s="1"/>
  <c r="AA22" i="1"/>
  <c r="AA23" i="1"/>
  <c r="P23" i="1" s="1"/>
  <c r="AA20" i="1"/>
  <c r="P20" i="1" s="1"/>
  <c r="AA21" i="1"/>
  <c r="P21" i="1" s="1"/>
  <c r="AA19" i="1"/>
  <c r="P19" i="1" s="1"/>
  <c r="AA31" i="1"/>
  <c r="N32" i="1"/>
  <c r="AA32" i="1"/>
  <c r="N9" i="1"/>
  <c r="N10" i="1"/>
  <c r="N11" i="1"/>
  <c r="P11" i="1" s="1"/>
  <c r="N12" i="1"/>
  <c r="P12" i="1" s="1"/>
  <c r="B21" i="7" l="1"/>
  <c r="B20" i="6"/>
  <c r="B21" i="6" s="1"/>
  <c r="B15" i="5"/>
  <c r="B22" i="5" s="1"/>
  <c r="B21" i="4"/>
  <c r="P32" i="1"/>
</calcChain>
</file>

<file path=xl/sharedStrings.xml><?xml version="1.0" encoding="utf-8"?>
<sst xmlns="http://schemas.openxmlformats.org/spreadsheetml/2006/main" count="538" uniqueCount="139">
  <si>
    <t>Job No.</t>
  </si>
  <si>
    <t>Tag No.</t>
  </si>
  <si>
    <t>Fluid</t>
  </si>
  <si>
    <t>Covering Code</t>
  </si>
  <si>
    <t>Viscosity</t>
  </si>
  <si>
    <t>Viscosity Unit</t>
  </si>
  <si>
    <t>Compressibility</t>
  </si>
  <si>
    <t>Cp/Cv</t>
  </si>
  <si>
    <t>Mole Weight</t>
  </si>
  <si>
    <t>Flash</t>
  </si>
  <si>
    <t>Density</t>
  </si>
  <si>
    <t>Density Unit</t>
  </si>
  <si>
    <t>Super heat corr.</t>
  </si>
  <si>
    <t>Capacity</t>
  </si>
  <si>
    <t>Capacity Unit</t>
  </si>
  <si>
    <t>Source of Overpressure</t>
  </si>
  <si>
    <t>MAWP</t>
  </si>
  <si>
    <t>Set Pressure</t>
  </si>
  <si>
    <t>Accumulation (% MAWP)</t>
  </si>
  <si>
    <t>Relief (% above S.P.)</t>
  </si>
  <si>
    <t>Blow Down</t>
  </si>
  <si>
    <t>Sup. back Pressure</t>
  </si>
  <si>
    <t>Build-up (% of S.P.)</t>
  </si>
  <si>
    <t>Alfa (AD-Merkblatt)</t>
  </si>
  <si>
    <t>Relief Temperature</t>
  </si>
  <si>
    <t>Relief Temperature Unit</t>
  </si>
  <si>
    <t>Calc. Orifice</t>
  </si>
  <si>
    <t>Calc. Orifice Unit</t>
  </si>
  <si>
    <t>S-02115</t>
  </si>
  <si>
    <t>PSV-1008</t>
  </si>
  <si>
    <t>G</t>
  </si>
  <si>
    <t>API 520, ASME Section VIII Division I</t>
  </si>
  <si>
    <t>1)</t>
  </si>
  <si>
    <t>Nm3/h</t>
  </si>
  <si>
    <t>Inadvertent opening of PV-1006</t>
  </si>
  <si>
    <t>°C</t>
  </si>
  <si>
    <t>PSV-1009</t>
  </si>
  <si>
    <t>PSV-1013</t>
  </si>
  <si>
    <t>Inadvertent opening of PV-1011 Cv=44</t>
  </si>
  <si>
    <t>cm²</t>
  </si>
  <si>
    <t>PSV-1014</t>
  </si>
  <si>
    <t>PSV-2078</t>
  </si>
  <si>
    <t>Inadvertent opening of FV-2079</t>
  </si>
  <si>
    <t>PSV-2546</t>
  </si>
  <si>
    <t>Inadvertent opening of HV-2545 Cv=15</t>
  </si>
  <si>
    <t>PSV-2555</t>
  </si>
  <si>
    <t>PSV-2604</t>
  </si>
  <si>
    <t>Inadvertent opening of PV-2608 Cv=5.5</t>
  </si>
  <si>
    <t>PSV-2605</t>
  </si>
  <si>
    <t>PSV-3173</t>
  </si>
  <si>
    <t>Inadvertent opening of FV-3169 Cv=49.3</t>
  </si>
  <si>
    <t>PSV-3174</t>
  </si>
  <si>
    <t>PSV-3196</t>
  </si>
  <si>
    <t>Inadvertent opening of LV-3161 A/B</t>
  </si>
  <si>
    <t>PSV-3197</t>
  </si>
  <si>
    <t>PSV-3206</t>
  </si>
  <si>
    <t>PSV-5006</t>
  </si>
  <si>
    <t>API 2000, API 650</t>
  </si>
  <si>
    <t>Inadvertent opening of LV-3192 Cv=313</t>
  </si>
  <si>
    <t>PSV-6021</t>
  </si>
  <si>
    <t>L</t>
  </si>
  <si>
    <t>cP</t>
  </si>
  <si>
    <t>kg/m3</t>
  </si>
  <si>
    <t>kg/h</t>
  </si>
  <si>
    <t>Inadvertent opening of FV-6031 or FV-5367</t>
  </si>
  <si>
    <t>PSV-6022</t>
  </si>
  <si>
    <t>PSV-7010</t>
  </si>
  <si>
    <t>S</t>
  </si>
  <si>
    <t>Inadvertent opening of PV-7002 A &amp; B or C</t>
  </si>
  <si>
    <t>PSV-7011</t>
  </si>
  <si>
    <t>PSV-7012</t>
  </si>
  <si>
    <t>PSV-7023</t>
  </si>
  <si>
    <t>Inadvertent opening of PV-7025 A &amp; B</t>
  </si>
  <si>
    <t>PSV-7024</t>
  </si>
  <si>
    <t>PSV-7036</t>
  </si>
  <si>
    <t>Inadvertent opening of PV-7031 A &amp; B</t>
  </si>
  <si>
    <t>PSV-7037</t>
  </si>
  <si>
    <t>PSV-7057</t>
  </si>
  <si>
    <t>Inadvertent opening of PV-7051 A &amp; B</t>
  </si>
  <si>
    <t>PSV-7058</t>
  </si>
  <si>
    <t>PSV-7059</t>
  </si>
  <si>
    <t>PSV-7060</t>
  </si>
  <si>
    <t>PSV-7061</t>
  </si>
  <si>
    <t>PSV-7142</t>
  </si>
  <si>
    <t>Inadvertent opening of FV-7141 Cv=52</t>
  </si>
  <si>
    <t>&lt;20</t>
  </si>
  <si>
    <t>PSV-7143</t>
  </si>
  <si>
    <t>Down-stream design pressure</t>
  </si>
  <si>
    <t>Upstream operating pressure</t>
  </si>
  <si>
    <t>Downstream pressure</t>
  </si>
  <si>
    <t>Normal Flow</t>
  </si>
  <si>
    <t xml:space="preserve">Upstream design pressure </t>
  </si>
  <si>
    <t>Relief load</t>
  </si>
  <si>
    <t>CV normal</t>
  </si>
  <si>
    <t>CV calculated</t>
  </si>
  <si>
    <t>Turndown flow</t>
  </si>
  <si>
    <t>Kiashemshaki load</t>
  </si>
  <si>
    <t>Fisher method</t>
  </si>
  <si>
    <t>Percentage superimposed</t>
  </si>
  <si>
    <t>percentage build-up</t>
  </si>
  <si>
    <t>Conventional</t>
  </si>
  <si>
    <t>Pilot</t>
  </si>
  <si>
    <t>Balanced</t>
  </si>
  <si>
    <t>Selected</t>
  </si>
  <si>
    <t>CONVENTIONAL</t>
  </si>
  <si>
    <t>BELLOWS</t>
  </si>
  <si>
    <t>Kiashemshaki</t>
  </si>
  <si>
    <t>Constant-Atmosphere</t>
  </si>
  <si>
    <t>Conventional-unstable</t>
  </si>
  <si>
    <t>Conventional-Acceptable</t>
  </si>
  <si>
    <t>Reasons</t>
  </si>
  <si>
    <t>P atm</t>
  </si>
  <si>
    <t>W</t>
  </si>
  <si>
    <t>Pset</t>
  </si>
  <si>
    <t>Rel.Temp.</t>
  </si>
  <si>
    <t>Pb</t>
  </si>
  <si>
    <t>MW</t>
  </si>
  <si>
    <t>Z</t>
  </si>
  <si>
    <t>Overpressure</t>
  </si>
  <si>
    <t>a</t>
  </si>
  <si>
    <t>b</t>
  </si>
  <si>
    <t>Pb/Pset</t>
  </si>
  <si>
    <t>PSV Type</t>
  </si>
  <si>
    <t>Rel.Pressure</t>
  </si>
  <si>
    <t>bara</t>
  </si>
  <si>
    <t>Pcritical/Prel</t>
  </si>
  <si>
    <t>Pcritical</t>
  </si>
  <si>
    <t>C</t>
  </si>
  <si>
    <t>Kb</t>
  </si>
  <si>
    <t>Kc</t>
  </si>
  <si>
    <t>Kd</t>
  </si>
  <si>
    <t>Required A</t>
  </si>
  <si>
    <t>mm2</t>
  </si>
  <si>
    <t>in2</t>
  </si>
  <si>
    <t>F2</t>
  </si>
  <si>
    <t>r</t>
  </si>
  <si>
    <t>k1</t>
  </si>
  <si>
    <t>k2</t>
  </si>
  <si>
    <t>k3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</si>
</sst>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10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16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0" xfId="1" applyProtection="1">
      <protection locked="0"/>
    </xf>
    <xf numFmtId="0" fontId="3" fillId="3" borderId="0" xfId="2"/>
    <xf numFmtId="0" fontId="3" fillId="3" borderId="0" xfId="2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9C787-D854-49B4-81DA-7180D269846C}">
  <dimension ref="A3:L23"/>
  <sheetViews>
    <sheetView workbookViewId="0">
      <selection activeCell="A3" sqref="A3:C23"/>
    </sheetView>
  </sheetViews>
  <sheetFormatPr defaultRowHeight="15" x14ac:dyDescent="0.25"/>
  <cols>
    <col min="1" max="1" width="13.42578125" customWidth="1"/>
    <col min="2" max="2" width="11.7109375" customWidth="1"/>
  </cols>
  <sheetData>
    <row r="3" spans="1:12" x14ac:dyDescent="0.25">
      <c r="A3" t="s">
        <v>111</v>
      </c>
      <c r="B3">
        <v>1.0132000000000001</v>
      </c>
    </row>
    <row r="4" spans="1:12" x14ac:dyDescent="0.25">
      <c r="A4" t="s">
        <v>112</v>
      </c>
      <c r="B4">
        <v>6500</v>
      </c>
    </row>
    <row r="5" spans="1:12" x14ac:dyDescent="0.25">
      <c r="A5" t="s">
        <v>113</v>
      </c>
      <c r="B5">
        <v>14</v>
      </c>
    </row>
    <row r="6" spans="1:12" x14ac:dyDescent="0.25">
      <c r="A6" t="s">
        <v>114</v>
      </c>
      <c r="B6">
        <v>138.6</v>
      </c>
    </row>
    <row r="7" spans="1:12" x14ac:dyDescent="0.25">
      <c r="A7" t="s">
        <v>115</v>
      </c>
      <c r="B7">
        <v>0</v>
      </c>
    </row>
    <row r="8" spans="1:12" x14ac:dyDescent="0.25">
      <c r="A8" t="s">
        <v>116</v>
      </c>
      <c r="B8">
        <v>12.06</v>
      </c>
    </row>
    <row r="9" spans="1:12" x14ac:dyDescent="0.25">
      <c r="A9" t="s">
        <v>117</v>
      </c>
      <c r="B9">
        <v>1</v>
      </c>
    </row>
    <row r="10" spans="1:12" x14ac:dyDescent="0.25">
      <c r="A10" t="s">
        <v>7</v>
      </c>
      <c r="B10">
        <v>1.36</v>
      </c>
      <c r="I10" s="9">
        <v>4</v>
      </c>
      <c r="J10" s="9"/>
      <c r="K10" s="9"/>
      <c r="L10" s="9">
        <v>5</v>
      </c>
    </row>
    <row r="11" spans="1:12" x14ac:dyDescent="0.25">
      <c r="A11" t="s">
        <v>118</v>
      </c>
      <c r="B11">
        <v>0.1</v>
      </c>
      <c r="I11" s="9" t="s">
        <v>119</v>
      </c>
      <c r="J11" s="9"/>
      <c r="K11" s="9"/>
      <c r="L11" s="9" t="s">
        <v>120</v>
      </c>
    </row>
    <row r="12" spans="1:12" x14ac:dyDescent="0.25">
      <c r="A12" t="s">
        <v>121</v>
      </c>
      <c r="B12">
        <f>B7/B5</f>
        <v>0</v>
      </c>
      <c r="I12" s="9"/>
      <c r="J12" s="9"/>
      <c r="K12" s="9"/>
      <c r="L12" s="9"/>
    </row>
    <row r="13" spans="1:12" x14ac:dyDescent="0.25">
      <c r="A13" t="s">
        <v>122</v>
      </c>
      <c r="I13" s="9"/>
      <c r="J13" s="9"/>
      <c r="K13" s="9"/>
      <c r="L13" s="9"/>
    </row>
    <row r="14" spans="1:12" x14ac:dyDescent="0.25">
      <c r="A14" t="s">
        <v>123</v>
      </c>
      <c r="B14">
        <f>B5*(1+B11)+B3</f>
        <v>16.413200000000003</v>
      </c>
      <c r="C14" t="s">
        <v>124</v>
      </c>
      <c r="I14" s="9"/>
      <c r="J14" s="9"/>
      <c r="K14" s="9"/>
      <c r="L14" s="9"/>
    </row>
    <row r="15" spans="1:12" x14ac:dyDescent="0.25">
      <c r="A15" t="s">
        <v>125</v>
      </c>
      <c r="B15">
        <f>(2/(B10+1))^(B10/(B10-1))</f>
        <v>0.53511330600641127</v>
      </c>
    </row>
    <row r="16" spans="1:12" x14ac:dyDescent="0.25">
      <c r="A16" t="s">
        <v>126</v>
      </c>
      <c r="B16">
        <f>B14*B15</f>
        <v>8.7829217141444307</v>
      </c>
      <c r="C16" t="s">
        <v>124</v>
      </c>
      <c r="J16" t="str">
        <f>IF(I10&gt;L10,I11,L11)</f>
        <v>b</v>
      </c>
    </row>
    <row r="17" spans="1:3" x14ac:dyDescent="0.25">
      <c r="A17" t="s">
        <v>127</v>
      </c>
      <c r="B17">
        <f>0.03948*SQRT((B10)*((2/(B10+1))^((B10+1)/(B10-1))))</f>
        <v>2.6762911133508285E-2</v>
      </c>
    </row>
    <row r="18" spans="1:3" x14ac:dyDescent="0.25">
      <c r="A18" t="s">
        <v>128</v>
      </c>
      <c r="B18">
        <v>1</v>
      </c>
    </row>
    <row r="19" spans="1:3" x14ac:dyDescent="0.25">
      <c r="A19" t="s">
        <v>129</v>
      </c>
      <c r="B19">
        <v>1</v>
      </c>
    </row>
    <row r="20" spans="1:3" x14ac:dyDescent="0.25">
      <c r="A20" t="s">
        <v>130</v>
      </c>
      <c r="B20">
        <v>0.97499999999999998</v>
      </c>
    </row>
    <row r="21" spans="1:3" x14ac:dyDescent="0.25">
      <c r="A21" t="s">
        <v>131</v>
      </c>
      <c r="B21">
        <f>(B4/(B17*B18*B19*B20*(B14*100)))*SQRT((B6+273)*B9/B8)</f>
        <v>886.63762424304934</v>
      </c>
      <c r="C21" t="s">
        <v>132</v>
      </c>
    </row>
    <row r="22" spans="1:3" x14ac:dyDescent="0.25">
      <c r="A22" t="s">
        <v>131</v>
      </c>
      <c r="B22">
        <f>B21/(25.4^2)</f>
        <v>1.3742910661588588</v>
      </c>
      <c r="C22" t="s">
        <v>133</v>
      </c>
    </row>
    <row r="23" spans="1:3" x14ac:dyDescent="0.25">
      <c r="B23" t="str">
        <f>IF(B7&lt;=B16,"critical flow","subcriticalflow")</f>
        <v>critical flow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2"/>
  <sheetViews>
    <sheetView topLeftCell="U1" zoomScale="70" zoomScaleNormal="70" workbookViewId="0">
      <selection activeCell="AK11" sqref="AG11:AK11"/>
    </sheetView>
  </sheetViews>
  <sheetFormatPr defaultRowHeight="15" x14ac:dyDescent="0.25"/>
  <cols>
    <col min="2" max="2" width="13.28515625" customWidth="1"/>
    <col min="7" max="7" width="12.85546875" customWidth="1"/>
    <col min="8" max="8" width="13.42578125" customWidth="1"/>
    <col min="9" max="9" width="13.85546875" customWidth="1"/>
    <col min="11" max="11" width="11.5703125" customWidth="1"/>
    <col min="13" max="15" width="18.7109375" customWidth="1"/>
    <col min="16" max="16" width="22.42578125" customWidth="1"/>
    <col min="17" max="17" width="15.28515625" customWidth="1"/>
    <col min="18" max="18" width="15.7109375" customWidth="1"/>
    <col min="19" max="19" width="41.42578125" customWidth="1"/>
    <col min="20" max="20" width="18.140625" customWidth="1"/>
    <col min="21" max="21" width="17.7109375" customWidth="1"/>
    <col min="22" max="22" width="25.140625" customWidth="1"/>
    <col min="23" max="23" width="28.42578125" customWidth="1"/>
    <col min="24" max="29" width="22" customWidth="1"/>
    <col min="30" max="30" width="13.7109375" customWidth="1"/>
    <col min="31" max="31" width="15.140625" customWidth="1"/>
    <col min="33" max="33" width="19.7109375" customWidth="1"/>
    <col min="34" max="34" width="18.7109375" customWidth="1"/>
    <col min="35" max="35" width="18.5703125" customWidth="1"/>
    <col min="36" max="36" width="20.85546875" customWidth="1"/>
    <col min="38" max="38" width="13.28515625" customWidth="1"/>
    <col min="39" max="39" width="21.140625" customWidth="1"/>
    <col min="40" max="40" width="12.42578125" customWidth="1"/>
    <col min="44" max="44" width="14.28515625" customWidth="1"/>
    <col min="45" max="45" width="17.7109375" customWidth="1"/>
    <col min="46" max="46" width="27" customWidth="1"/>
  </cols>
  <sheetData>
    <row r="1" spans="1:4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92</v>
      </c>
      <c r="O1" s="1" t="s">
        <v>97</v>
      </c>
      <c r="P1" s="1" t="s">
        <v>96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91</v>
      </c>
      <c r="W1" s="1" t="s">
        <v>87</v>
      </c>
      <c r="X1" s="1" t="s">
        <v>88</v>
      </c>
      <c r="Y1" s="1" t="s">
        <v>89</v>
      </c>
      <c r="Z1" s="1" t="s">
        <v>90</v>
      </c>
      <c r="AA1" s="1" t="s">
        <v>95</v>
      </c>
      <c r="AB1" s="1" t="s">
        <v>93</v>
      </c>
      <c r="AC1" s="1" t="s">
        <v>94</v>
      </c>
      <c r="AD1" s="1" t="s">
        <v>18</v>
      </c>
      <c r="AE1" s="1" t="s">
        <v>19</v>
      </c>
      <c r="AF1" s="1" t="s">
        <v>20</v>
      </c>
      <c r="AG1" s="1" t="s">
        <v>21</v>
      </c>
      <c r="AH1" s="1" t="s">
        <v>22</v>
      </c>
      <c r="AI1" s="1" t="s">
        <v>23</v>
      </c>
      <c r="AJ1" s="1" t="s">
        <v>24</v>
      </c>
      <c r="AK1" s="1" t="s">
        <v>25</v>
      </c>
      <c r="AL1" s="1" t="s">
        <v>26</v>
      </c>
      <c r="AM1" s="1" t="s">
        <v>27</v>
      </c>
      <c r="AN1" s="1" t="s">
        <v>98</v>
      </c>
      <c r="AO1" s="1" t="s">
        <v>99</v>
      </c>
      <c r="AR1" s="1" t="s">
        <v>106</v>
      </c>
      <c r="AS1" s="1" t="s">
        <v>103</v>
      </c>
      <c r="AT1" s="1" t="s">
        <v>110</v>
      </c>
    </row>
    <row r="2" spans="1:46" x14ac:dyDescent="0.25">
      <c r="A2" s="2" t="s">
        <v>28</v>
      </c>
      <c r="B2" s="2" t="s">
        <v>29</v>
      </c>
      <c r="C2" s="2" t="s">
        <v>30</v>
      </c>
      <c r="D2" s="2" t="s">
        <v>31</v>
      </c>
      <c r="E2" s="2"/>
      <c r="F2" s="2"/>
      <c r="G2" s="2">
        <v>0.92</v>
      </c>
      <c r="H2" s="2">
        <v>1.28</v>
      </c>
      <c r="I2" s="2">
        <v>16.739999999999998</v>
      </c>
      <c r="J2" s="2"/>
      <c r="K2" s="2"/>
      <c r="L2" s="2"/>
      <c r="M2" s="2"/>
      <c r="N2" s="2"/>
      <c r="O2" s="2"/>
      <c r="P2" s="2"/>
      <c r="Q2" s="2" t="s">
        <v>32</v>
      </c>
      <c r="R2" s="2" t="s">
        <v>33</v>
      </c>
      <c r="S2" s="2" t="s">
        <v>34</v>
      </c>
      <c r="T2" s="2">
        <v>55</v>
      </c>
      <c r="U2" s="2">
        <v>55</v>
      </c>
      <c r="V2" s="2"/>
      <c r="W2" s="2"/>
      <c r="X2" s="2"/>
      <c r="Y2" s="2"/>
      <c r="Z2" s="2"/>
      <c r="AA2" s="2"/>
      <c r="AB2" s="2"/>
      <c r="AC2" s="2"/>
      <c r="AD2" s="2">
        <v>10</v>
      </c>
      <c r="AE2" s="2">
        <v>10</v>
      </c>
      <c r="AF2" s="3">
        <v>40729</v>
      </c>
      <c r="AG2" s="2">
        <v>1.5</v>
      </c>
      <c r="AH2" s="2">
        <v>7.2</v>
      </c>
      <c r="AI2" s="2"/>
      <c r="AJ2" s="2">
        <v>40</v>
      </c>
      <c r="AK2" s="2" t="s">
        <v>35</v>
      </c>
      <c r="AL2" s="2"/>
      <c r="AM2" s="2"/>
      <c r="AN2" s="2">
        <f>100*AG2/U2</f>
        <v>2.7272727272727271</v>
      </c>
      <c r="AO2">
        <f>100*AH2/U2</f>
        <v>13.090909090909092</v>
      </c>
      <c r="AR2" t="s">
        <v>100</v>
      </c>
      <c r="AS2" t="s">
        <v>104</v>
      </c>
      <c r="AT2" t="s">
        <v>109</v>
      </c>
    </row>
    <row r="3" spans="1:46" x14ac:dyDescent="0.25">
      <c r="A3" s="2" t="s">
        <v>28</v>
      </c>
      <c r="B3" s="2" t="s">
        <v>36</v>
      </c>
      <c r="C3" s="2" t="s">
        <v>30</v>
      </c>
      <c r="D3" s="2" t="s">
        <v>31</v>
      </c>
      <c r="E3" s="2"/>
      <c r="F3" s="2"/>
      <c r="G3" s="2">
        <v>0.92</v>
      </c>
      <c r="H3" s="2">
        <v>1.28</v>
      </c>
      <c r="I3" s="2">
        <v>16.739999999999998</v>
      </c>
      <c r="J3" s="2"/>
      <c r="K3" s="2"/>
      <c r="L3" s="2"/>
      <c r="M3" s="2"/>
      <c r="N3" s="2"/>
      <c r="O3" s="2"/>
      <c r="P3" s="2"/>
      <c r="Q3" s="2" t="s">
        <v>32</v>
      </c>
      <c r="R3" s="2" t="s">
        <v>33</v>
      </c>
      <c r="S3" s="2" t="s">
        <v>34</v>
      </c>
      <c r="T3" s="2">
        <v>55</v>
      </c>
      <c r="U3" s="2">
        <v>55</v>
      </c>
      <c r="V3" s="2"/>
      <c r="W3" s="2"/>
      <c r="X3" s="2"/>
      <c r="Y3" s="2"/>
      <c r="Z3" s="2"/>
      <c r="AA3" s="2"/>
      <c r="AB3" s="2"/>
      <c r="AC3" s="2"/>
      <c r="AD3" s="2">
        <v>10</v>
      </c>
      <c r="AE3" s="2">
        <v>10</v>
      </c>
      <c r="AF3" s="3">
        <v>40729</v>
      </c>
      <c r="AG3" s="2">
        <v>1.5</v>
      </c>
      <c r="AH3" s="2">
        <v>7.2</v>
      </c>
      <c r="AI3" s="2"/>
      <c r="AJ3" s="2">
        <v>40</v>
      </c>
      <c r="AK3" s="2" t="s">
        <v>35</v>
      </c>
      <c r="AL3" s="2"/>
      <c r="AM3" s="2"/>
      <c r="AN3" s="2">
        <f t="shared" ref="AN3:AN32" si="0">100*AG3/U3</f>
        <v>2.7272727272727271</v>
      </c>
      <c r="AO3">
        <f t="shared" ref="AO3:AO32" si="1">100*AH3/U3</f>
        <v>13.090909090909092</v>
      </c>
      <c r="AR3" t="s">
        <v>100</v>
      </c>
      <c r="AS3" t="s">
        <v>104</v>
      </c>
      <c r="AT3" t="s">
        <v>109</v>
      </c>
    </row>
    <row r="4" spans="1:46" x14ac:dyDescent="0.25">
      <c r="A4" s="2" t="s">
        <v>28</v>
      </c>
      <c r="B4" s="2" t="s">
        <v>37</v>
      </c>
      <c r="C4" s="2" t="s">
        <v>30</v>
      </c>
      <c r="D4" s="2" t="s">
        <v>31</v>
      </c>
      <c r="E4" s="2"/>
      <c r="F4" s="2"/>
      <c r="G4" s="2">
        <v>0.99</v>
      </c>
      <c r="H4" s="2">
        <v>1.3</v>
      </c>
      <c r="I4" s="2">
        <v>16.739999999999998</v>
      </c>
      <c r="J4" s="2"/>
      <c r="K4" s="2"/>
      <c r="L4" s="2"/>
      <c r="M4" s="2"/>
      <c r="N4" s="2">
        <f>1.1*((AC4/AB4)*Z4*(SQRT(X4/(X4-Y4))/SQRT(V4/(V4-W4))))</f>
        <v>40920.995848806582</v>
      </c>
      <c r="O4" s="2">
        <v>17500</v>
      </c>
      <c r="P4" s="7">
        <f>O4-AA4</f>
        <v>9100</v>
      </c>
      <c r="Q4" s="2">
        <v>37000</v>
      </c>
      <c r="R4" s="2" t="s">
        <v>33</v>
      </c>
      <c r="S4" s="2" t="s">
        <v>38</v>
      </c>
      <c r="T4" s="2">
        <v>7</v>
      </c>
      <c r="U4" s="2">
        <v>7</v>
      </c>
      <c r="V4" s="2">
        <v>55</v>
      </c>
      <c r="W4" s="2">
        <v>7</v>
      </c>
      <c r="X4" s="2">
        <v>50</v>
      </c>
      <c r="Y4" s="2">
        <v>4</v>
      </c>
      <c r="Z4" s="2">
        <v>31103</v>
      </c>
      <c r="AA4" s="2">
        <v>8400</v>
      </c>
      <c r="AB4" s="2">
        <v>35.83</v>
      </c>
      <c r="AC4" s="2">
        <v>44</v>
      </c>
      <c r="AD4" s="2">
        <v>10</v>
      </c>
      <c r="AE4" s="2">
        <v>10</v>
      </c>
      <c r="AF4" s="3">
        <v>40729</v>
      </c>
      <c r="AG4" s="2">
        <v>1.5</v>
      </c>
      <c r="AH4" s="2">
        <v>8.6</v>
      </c>
      <c r="AI4" s="2"/>
      <c r="AJ4" s="2">
        <v>35</v>
      </c>
      <c r="AK4" s="2" t="s">
        <v>35</v>
      </c>
      <c r="AL4" s="2">
        <v>52.720999999999997</v>
      </c>
      <c r="AM4" s="2" t="s">
        <v>39</v>
      </c>
      <c r="AN4" s="2">
        <f t="shared" si="0"/>
        <v>21.428571428571427</v>
      </c>
      <c r="AO4">
        <f t="shared" si="1"/>
        <v>122.85714285714286</v>
      </c>
      <c r="AR4" t="s">
        <v>101</v>
      </c>
      <c r="AS4" s="8" t="s">
        <v>105</v>
      </c>
      <c r="AT4" t="s">
        <v>108</v>
      </c>
    </row>
    <row r="5" spans="1:46" x14ac:dyDescent="0.25">
      <c r="A5" s="2" t="s">
        <v>28</v>
      </c>
      <c r="B5" s="2" t="s">
        <v>40</v>
      </c>
      <c r="C5" s="2" t="s">
        <v>30</v>
      </c>
      <c r="D5" s="2" t="s">
        <v>31</v>
      </c>
      <c r="E5" s="2"/>
      <c r="F5" s="2"/>
      <c r="G5" s="2">
        <v>0.99</v>
      </c>
      <c r="H5" s="2">
        <v>1.3</v>
      </c>
      <c r="I5" s="2">
        <v>16.739999999999998</v>
      </c>
      <c r="J5" s="2"/>
      <c r="K5" s="2"/>
      <c r="L5" s="2"/>
      <c r="M5" s="2"/>
      <c r="N5" s="2">
        <f>1.1*((AC5/AB5)*Z5*(SQRT(X5/(X5-Y5))/SQRT(V5/(V5-W5))))</f>
        <v>40920.733695365707</v>
      </c>
      <c r="O5" s="2">
        <v>17500</v>
      </c>
      <c r="P5" s="7">
        <f>O5-AA5</f>
        <v>9100</v>
      </c>
      <c r="Q5" s="2">
        <v>37000</v>
      </c>
      <c r="R5" s="2" t="s">
        <v>33</v>
      </c>
      <c r="S5" s="2" t="s">
        <v>38</v>
      </c>
      <c r="T5" s="2">
        <v>7</v>
      </c>
      <c r="U5" s="2">
        <v>7</v>
      </c>
      <c r="V5" s="2">
        <v>55</v>
      </c>
      <c r="W5" s="2">
        <v>7</v>
      </c>
      <c r="X5" s="2">
        <v>50</v>
      </c>
      <c r="Y5" s="2">
        <v>4</v>
      </c>
      <c r="Z5" s="2">
        <v>16337</v>
      </c>
      <c r="AA5" s="2">
        <v>8400</v>
      </c>
      <c r="AB5" s="2">
        <v>18.82</v>
      </c>
      <c r="AC5" s="2">
        <v>44</v>
      </c>
      <c r="AD5" s="2">
        <v>10</v>
      </c>
      <c r="AE5" s="2">
        <v>10</v>
      </c>
      <c r="AF5" s="3">
        <v>40729</v>
      </c>
      <c r="AG5" s="2">
        <v>1.5</v>
      </c>
      <c r="AH5" s="2">
        <v>8.6</v>
      </c>
      <c r="AI5" s="2"/>
      <c r="AJ5" s="2">
        <v>35</v>
      </c>
      <c r="AK5" s="2" t="s">
        <v>35</v>
      </c>
      <c r="AL5" s="2">
        <v>52.720999999999997</v>
      </c>
      <c r="AM5" s="2" t="s">
        <v>39</v>
      </c>
      <c r="AN5" s="2">
        <f t="shared" si="0"/>
        <v>21.428571428571427</v>
      </c>
      <c r="AO5">
        <f t="shared" si="1"/>
        <v>122.85714285714286</v>
      </c>
      <c r="AR5" t="s">
        <v>101</v>
      </c>
      <c r="AS5" s="8" t="s">
        <v>105</v>
      </c>
      <c r="AT5" t="s">
        <v>108</v>
      </c>
    </row>
    <row r="6" spans="1:46" x14ac:dyDescent="0.25">
      <c r="A6" s="2" t="s">
        <v>28</v>
      </c>
      <c r="B6" s="2" t="s">
        <v>41</v>
      </c>
      <c r="C6" s="2" t="s">
        <v>30</v>
      </c>
      <c r="D6" s="2" t="s">
        <v>31</v>
      </c>
      <c r="E6" s="2"/>
      <c r="F6" s="2"/>
      <c r="G6" s="2">
        <v>1.02</v>
      </c>
      <c r="H6" s="2">
        <v>1.39</v>
      </c>
      <c r="I6" s="2">
        <v>9.3699999999999992</v>
      </c>
      <c r="J6" s="2"/>
      <c r="K6" s="2"/>
      <c r="L6" s="2"/>
      <c r="M6" s="2"/>
      <c r="N6" s="2"/>
      <c r="O6" s="2"/>
      <c r="P6" s="2"/>
      <c r="Q6" s="2" t="s">
        <v>32</v>
      </c>
      <c r="R6" s="2" t="s">
        <v>33</v>
      </c>
      <c r="S6" s="2" t="s">
        <v>42</v>
      </c>
      <c r="T6" s="2">
        <v>52</v>
      </c>
      <c r="U6" s="2">
        <v>52</v>
      </c>
      <c r="V6" s="2"/>
      <c r="W6" s="2"/>
      <c r="X6" s="2"/>
      <c r="Y6" s="2"/>
      <c r="Z6" s="2"/>
      <c r="AA6" s="2"/>
      <c r="AB6" s="2"/>
      <c r="AC6" s="2"/>
      <c r="AD6" s="2">
        <v>10</v>
      </c>
      <c r="AE6" s="2">
        <v>10</v>
      </c>
      <c r="AF6" s="3">
        <v>40729</v>
      </c>
      <c r="AG6" s="2">
        <v>1.5</v>
      </c>
      <c r="AH6" s="2">
        <v>7.1</v>
      </c>
      <c r="AI6" s="2"/>
      <c r="AJ6" s="2">
        <v>48</v>
      </c>
      <c r="AK6" s="2" t="s">
        <v>35</v>
      </c>
      <c r="AL6" s="2"/>
      <c r="AM6" s="2"/>
      <c r="AN6" s="2">
        <f t="shared" si="0"/>
        <v>2.8846153846153846</v>
      </c>
      <c r="AO6">
        <f t="shared" si="1"/>
        <v>13.653846153846153</v>
      </c>
      <c r="AR6" t="s">
        <v>100</v>
      </c>
    </row>
    <row r="7" spans="1:46" x14ac:dyDescent="0.25">
      <c r="A7" s="2" t="s">
        <v>28</v>
      </c>
      <c r="B7" s="2" t="s">
        <v>43</v>
      </c>
      <c r="C7" s="2" t="s">
        <v>30</v>
      </c>
      <c r="D7" s="2" t="s">
        <v>31</v>
      </c>
      <c r="E7" s="2"/>
      <c r="F7" s="2"/>
      <c r="G7" s="2">
        <v>1</v>
      </c>
      <c r="H7" s="2">
        <v>1.4</v>
      </c>
      <c r="I7" s="2">
        <v>28.01</v>
      </c>
      <c r="J7" s="2"/>
      <c r="K7" s="2"/>
      <c r="L7" s="2"/>
      <c r="M7" s="2"/>
      <c r="N7" s="2"/>
      <c r="O7" s="2"/>
      <c r="P7" s="2"/>
      <c r="Q7" s="2">
        <v>1350</v>
      </c>
      <c r="R7" s="2" t="s">
        <v>33</v>
      </c>
      <c r="S7" s="2" t="s">
        <v>44</v>
      </c>
      <c r="T7" s="2">
        <v>7</v>
      </c>
      <c r="U7" s="2">
        <v>7</v>
      </c>
      <c r="V7" s="2"/>
      <c r="W7" s="2"/>
      <c r="X7" s="2"/>
      <c r="Y7" s="2"/>
      <c r="Z7" s="2"/>
      <c r="AA7" s="2"/>
      <c r="AB7" s="2"/>
      <c r="AC7" s="2"/>
      <c r="AD7" s="2">
        <v>10</v>
      </c>
      <c r="AE7" s="2">
        <v>10</v>
      </c>
      <c r="AF7" s="3">
        <v>40729</v>
      </c>
      <c r="AG7" s="2">
        <v>0</v>
      </c>
      <c r="AH7" s="2">
        <v>10</v>
      </c>
      <c r="AI7" s="2"/>
      <c r="AJ7" s="2">
        <v>40</v>
      </c>
      <c r="AK7" s="2" t="s">
        <v>35</v>
      </c>
      <c r="AL7" s="2">
        <v>2.4544999999999999</v>
      </c>
      <c r="AM7" s="2" t="s">
        <v>39</v>
      </c>
      <c r="AN7" s="2">
        <f t="shared" si="0"/>
        <v>0</v>
      </c>
      <c r="AO7">
        <f t="shared" si="1"/>
        <v>142.85714285714286</v>
      </c>
      <c r="AR7" t="s">
        <v>101</v>
      </c>
      <c r="AS7" s="8" t="s">
        <v>104</v>
      </c>
      <c r="AT7" t="s">
        <v>107</v>
      </c>
    </row>
    <row r="8" spans="1:46" x14ac:dyDescent="0.25">
      <c r="A8" s="2" t="s">
        <v>28</v>
      </c>
      <c r="B8" s="2" t="s">
        <v>45</v>
      </c>
      <c r="C8" s="2" t="s">
        <v>30</v>
      </c>
      <c r="D8" s="2" t="s">
        <v>31</v>
      </c>
      <c r="E8" s="2"/>
      <c r="F8" s="2"/>
      <c r="G8" s="2">
        <v>1</v>
      </c>
      <c r="H8" s="2">
        <v>1.4</v>
      </c>
      <c r="I8" s="2">
        <v>28.01</v>
      </c>
      <c r="J8" s="2"/>
      <c r="K8" s="2"/>
      <c r="L8" s="2"/>
      <c r="M8" s="2"/>
      <c r="N8" s="2"/>
      <c r="O8" s="2"/>
      <c r="P8" s="2"/>
      <c r="Q8" s="2">
        <v>1350</v>
      </c>
      <c r="R8" s="2" t="s">
        <v>33</v>
      </c>
      <c r="S8" s="2" t="s">
        <v>44</v>
      </c>
      <c r="T8" s="2">
        <v>7</v>
      </c>
      <c r="U8" s="2">
        <v>7</v>
      </c>
      <c r="V8" s="2"/>
      <c r="W8" s="2"/>
      <c r="X8" s="2"/>
      <c r="Y8" s="2"/>
      <c r="Z8" s="2"/>
      <c r="AA8" s="2"/>
      <c r="AB8" s="2"/>
      <c r="AC8" s="2"/>
      <c r="AD8" s="2">
        <v>10</v>
      </c>
      <c r="AE8" s="2">
        <v>10</v>
      </c>
      <c r="AF8" s="3">
        <v>40729</v>
      </c>
      <c r="AG8" s="2">
        <v>0</v>
      </c>
      <c r="AH8" s="2">
        <v>10</v>
      </c>
      <c r="AI8" s="2"/>
      <c r="AJ8" s="2">
        <v>40</v>
      </c>
      <c r="AK8" s="2" t="s">
        <v>35</v>
      </c>
      <c r="AL8" s="2">
        <v>2.4544999999999999</v>
      </c>
      <c r="AM8" s="2" t="s">
        <v>39</v>
      </c>
      <c r="AN8" s="2">
        <f t="shared" si="0"/>
        <v>0</v>
      </c>
      <c r="AO8">
        <f t="shared" si="1"/>
        <v>142.85714285714286</v>
      </c>
      <c r="AR8" t="s">
        <v>101</v>
      </c>
      <c r="AS8" s="8" t="s">
        <v>104</v>
      </c>
      <c r="AT8" t="s">
        <v>107</v>
      </c>
    </row>
    <row r="9" spans="1:46" x14ac:dyDescent="0.25">
      <c r="A9" s="2" t="s">
        <v>28</v>
      </c>
      <c r="B9" s="2" t="s">
        <v>46</v>
      </c>
      <c r="C9" s="2" t="s">
        <v>30</v>
      </c>
      <c r="D9" s="2" t="s">
        <v>31</v>
      </c>
      <c r="E9" s="2"/>
      <c r="F9" s="2"/>
      <c r="G9" s="2">
        <v>1.02</v>
      </c>
      <c r="H9" s="2">
        <v>1.39</v>
      </c>
      <c r="I9" s="2">
        <v>9.3699999999999992</v>
      </c>
      <c r="J9" s="2"/>
      <c r="K9" s="2"/>
      <c r="L9" s="2"/>
      <c r="M9" s="2"/>
      <c r="N9" s="2">
        <f t="shared" ref="N9:N10" si="2">1.1*((AC9/AB9)*Z9*(SQRT(X9/(X9-Y9))/SQRT(V9/(V9-W9))))</f>
        <v>9545.4839572020883</v>
      </c>
      <c r="O9" s="2">
        <v>6800</v>
      </c>
      <c r="P9" s="7">
        <f>O9-AA9</f>
        <v>4775.6000000000004</v>
      </c>
      <c r="Q9" s="2">
        <v>9500</v>
      </c>
      <c r="R9" s="2" t="s">
        <v>33</v>
      </c>
      <c r="S9" s="2" t="s">
        <v>47</v>
      </c>
      <c r="T9" s="2">
        <v>60</v>
      </c>
      <c r="U9" s="2">
        <v>60</v>
      </c>
      <c r="V9" s="2">
        <v>99</v>
      </c>
      <c r="W9" s="2">
        <v>60</v>
      </c>
      <c r="X9" s="2">
        <v>76.2</v>
      </c>
      <c r="Y9" s="2">
        <v>50.4</v>
      </c>
      <c r="Z9" s="2">
        <v>5061</v>
      </c>
      <c r="AA9" s="2">
        <f>Z9*0.4</f>
        <v>2024.4</v>
      </c>
      <c r="AB9" s="2">
        <v>3.46</v>
      </c>
      <c r="AC9" s="2">
        <v>5.5</v>
      </c>
      <c r="AD9" s="2">
        <v>10</v>
      </c>
      <c r="AE9" s="2">
        <v>10</v>
      </c>
      <c r="AF9" s="3">
        <v>40729</v>
      </c>
      <c r="AG9" s="2">
        <v>1.5</v>
      </c>
      <c r="AH9" s="2">
        <v>7.5</v>
      </c>
      <c r="AI9" s="2"/>
      <c r="AJ9" s="2">
        <v>48</v>
      </c>
      <c r="AK9" s="2" t="s">
        <v>35</v>
      </c>
      <c r="AL9" s="2">
        <v>1.3320000000000001</v>
      </c>
      <c r="AM9" s="2" t="s">
        <v>39</v>
      </c>
      <c r="AN9" s="2">
        <f t="shared" si="0"/>
        <v>2.5</v>
      </c>
      <c r="AO9">
        <f t="shared" si="1"/>
        <v>12.5</v>
      </c>
      <c r="AR9" t="s">
        <v>100</v>
      </c>
      <c r="AS9" s="8" t="s">
        <v>104</v>
      </c>
      <c r="AT9" t="s">
        <v>109</v>
      </c>
    </row>
    <row r="10" spans="1:46" x14ac:dyDescent="0.25">
      <c r="A10" s="2" t="s">
        <v>28</v>
      </c>
      <c r="B10" s="2" t="s">
        <v>48</v>
      </c>
      <c r="C10" s="2" t="s">
        <v>30</v>
      </c>
      <c r="D10" s="2" t="s">
        <v>31</v>
      </c>
      <c r="E10" s="2"/>
      <c r="F10" s="2"/>
      <c r="G10" s="2">
        <v>1.02</v>
      </c>
      <c r="H10" s="2">
        <v>1.39</v>
      </c>
      <c r="I10" s="2">
        <v>9.3699999999999992</v>
      </c>
      <c r="J10" s="2"/>
      <c r="K10" s="2"/>
      <c r="L10" s="2"/>
      <c r="M10" s="2"/>
      <c r="N10" s="2">
        <f t="shared" si="2"/>
        <v>9545.4839572020883</v>
      </c>
      <c r="O10" s="2">
        <v>6800</v>
      </c>
      <c r="P10" s="7">
        <f>O10-AA10</f>
        <v>4775.6000000000004</v>
      </c>
      <c r="Q10" s="2">
        <v>9500</v>
      </c>
      <c r="R10" s="2" t="s">
        <v>33</v>
      </c>
      <c r="S10" s="2" t="s">
        <v>47</v>
      </c>
      <c r="T10" s="2">
        <v>60</v>
      </c>
      <c r="U10" s="2">
        <v>60</v>
      </c>
      <c r="V10" s="2">
        <v>99</v>
      </c>
      <c r="W10" s="2">
        <v>60</v>
      </c>
      <c r="X10" s="2">
        <v>76.2</v>
      </c>
      <c r="Y10" s="2">
        <v>50.4</v>
      </c>
      <c r="Z10" s="2">
        <v>5061</v>
      </c>
      <c r="AA10" s="2">
        <f>Z10*0.4</f>
        <v>2024.4</v>
      </c>
      <c r="AB10" s="2">
        <v>3.46</v>
      </c>
      <c r="AC10" s="2">
        <v>5.5</v>
      </c>
      <c r="AD10" s="2">
        <v>10</v>
      </c>
      <c r="AE10" s="2">
        <v>10</v>
      </c>
      <c r="AF10" s="3">
        <v>40729</v>
      </c>
      <c r="AG10" s="2">
        <v>1.5</v>
      </c>
      <c r="AH10" s="2">
        <v>7.5</v>
      </c>
      <c r="AI10" s="2"/>
      <c r="AJ10" s="2">
        <v>48</v>
      </c>
      <c r="AK10" s="2" t="s">
        <v>35</v>
      </c>
      <c r="AL10" s="2">
        <v>1.3320000000000001</v>
      </c>
      <c r="AM10" s="2" t="s">
        <v>39</v>
      </c>
      <c r="AN10" s="2">
        <f t="shared" si="0"/>
        <v>2.5</v>
      </c>
      <c r="AO10">
        <f t="shared" si="1"/>
        <v>12.5</v>
      </c>
      <c r="AR10" t="s">
        <v>100</v>
      </c>
      <c r="AS10" s="8" t="s">
        <v>104</v>
      </c>
      <c r="AT10" t="s">
        <v>109</v>
      </c>
    </row>
    <row r="11" spans="1:46" x14ac:dyDescent="0.25">
      <c r="A11" s="2" t="s">
        <v>28</v>
      </c>
      <c r="B11" s="2" t="s">
        <v>49</v>
      </c>
      <c r="C11" s="2" t="s">
        <v>30</v>
      </c>
      <c r="D11" s="2" t="s">
        <v>31</v>
      </c>
      <c r="E11" s="2"/>
      <c r="F11" s="2"/>
      <c r="G11" s="2">
        <v>1</v>
      </c>
      <c r="H11" s="2">
        <v>1.38</v>
      </c>
      <c r="I11" s="2">
        <v>9.3699999999999992</v>
      </c>
      <c r="J11" s="2"/>
      <c r="K11" s="2"/>
      <c r="L11" s="2"/>
      <c r="M11" s="2"/>
      <c r="N11" s="2">
        <f>1.1*((AC11/AB11)*Z11*(SQRT(X11/(X11-Y11))/SQRT(V11/(V11-W11))))</f>
        <v>96680.742441832917</v>
      </c>
      <c r="O11" s="2"/>
      <c r="P11" s="2">
        <f>N11-AA11</f>
        <v>71680.742441832917</v>
      </c>
      <c r="Q11" s="2">
        <v>100000</v>
      </c>
      <c r="R11" s="2" t="s">
        <v>33</v>
      </c>
      <c r="S11" s="2" t="s">
        <v>50</v>
      </c>
      <c r="T11" s="2">
        <v>7</v>
      </c>
      <c r="U11" s="2">
        <v>7</v>
      </c>
      <c r="V11" s="2">
        <v>99</v>
      </c>
      <c r="W11" s="2">
        <v>7</v>
      </c>
      <c r="X11" s="2">
        <v>83.7</v>
      </c>
      <c r="Y11" s="2">
        <v>3.6</v>
      </c>
      <c r="Z11" s="2">
        <v>62000</v>
      </c>
      <c r="AA11" s="2">
        <v>25000</v>
      </c>
      <c r="AB11" s="2">
        <v>34.270000000000003</v>
      </c>
      <c r="AC11" s="2">
        <v>49.3</v>
      </c>
      <c r="AD11" s="2">
        <v>10</v>
      </c>
      <c r="AE11" s="2">
        <v>10</v>
      </c>
      <c r="AF11" s="3">
        <v>40729</v>
      </c>
      <c r="AG11" s="2">
        <v>1.5</v>
      </c>
      <c r="AH11" s="2">
        <v>8.5</v>
      </c>
      <c r="AI11" s="2"/>
      <c r="AJ11" s="2">
        <v>40</v>
      </c>
      <c r="AK11" s="2" t="s">
        <v>35</v>
      </c>
      <c r="AL11" s="2">
        <v>105.71</v>
      </c>
      <c r="AM11" s="2" t="s">
        <v>39</v>
      </c>
      <c r="AN11" s="2">
        <f t="shared" si="0"/>
        <v>21.428571428571427</v>
      </c>
      <c r="AO11">
        <f t="shared" si="1"/>
        <v>121.42857142857143</v>
      </c>
      <c r="AR11" t="s">
        <v>101</v>
      </c>
      <c r="AS11" s="8" t="s">
        <v>105</v>
      </c>
      <c r="AT11" t="s">
        <v>108</v>
      </c>
    </row>
    <row r="12" spans="1:46" x14ac:dyDescent="0.25">
      <c r="A12" s="2" t="s">
        <v>28</v>
      </c>
      <c r="B12" s="2" t="s">
        <v>51</v>
      </c>
      <c r="C12" s="2" t="s">
        <v>30</v>
      </c>
      <c r="D12" s="2" t="s">
        <v>31</v>
      </c>
      <c r="E12" s="2"/>
      <c r="F12" s="2"/>
      <c r="G12" s="2">
        <v>1</v>
      </c>
      <c r="H12" s="2">
        <v>1.38</v>
      </c>
      <c r="I12" s="2">
        <v>9.3699999999999992</v>
      </c>
      <c r="J12" s="2"/>
      <c r="K12" s="2"/>
      <c r="L12" s="2"/>
      <c r="M12" s="2"/>
      <c r="N12" s="2">
        <f>1.1*((AC12/AB12)*Z12*(SQRT(X12/(X12-Y12))/SQRT(V12/(V12-W12))))</f>
        <v>96680.742441832917</v>
      </c>
      <c r="O12" s="2"/>
      <c r="P12" s="2">
        <f>N12-AA12</f>
        <v>71680.742441832917</v>
      </c>
      <c r="Q12" s="2">
        <v>100000</v>
      </c>
      <c r="R12" s="2" t="s">
        <v>33</v>
      </c>
      <c r="S12" s="2" t="s">
        <v>50</v>
      </c>
      <c r="T12" s="2">
        <v>7</v>
      </c>
      <c r="U12" s="2">
        <v>7</v>
      </c>
      <c r="V12" s="2">
        <v>99</v>
      </c>
      <c r="W12" s="2">
        <v>7</v>
      </c>
      <c r="X12" s="2">
        <v>83.7</v>
      </c>
      <c r="Y12" s="2">
        <v>3.6</v>
      </c>
      <c r="Z12" s="2">
        <v>62000</v>
      </c>
      <c r="AA12" s="2">
        <v>25000</v>
      </c>
      <c r="AB12" s="2">
        <v>34.270000000000003</v>
      </c>
      <c r="AC12" s="2">
        <v>49.3</v>
      </c>
      <c r="AD12" s="2">
        <v>10</v>
      </c>
      <c r="AE12" s="2">
        <v>10</v>
      </c>
      <c r="AF12" s="3">
        <v>40729</v>
      </c>
      <c r="AG12" s="2">
        <v>1.5</v>
      </c>
      <c r="AH12" s="2">
        <v>8.5</v>
      </c>
      <c r="AI12" s="2"/>
      <c r="AJ12" s="2">
        <v>40</v>
      </c>
      <c r="AK12" s="2" t="s">
        <v>35</v>
      </c>
      <c r="AL12" s="2">
        <v>105.71</v>
      </c>
      <c r="AM12" s="2" t="s">
        <v>39</v>
      </c>
      <c r="AN12" s="2">
        <f t="shared" si="0"/>
        <v>21.428571428571427</v>
      </c>
      <c r="AO12">
        <f t="shared" si="1"/>
        <v>121.42857142857143</v>
      </c>
      <c r="AR12" t="s">
        <v>101</v>
      </c>
      <c r="AS12" s="8" t="s">
        <v>105</v>
      </c>
      <c r="AT12" t="s">
        <v>108</v>
      </c>
    </row>
    <row r="13" spans="1:46" x14ac:dyDescent="0.25">
      <c r="A13" s="2" t="s">
        <v>28</v>
      </c>
      <c r="B13" s="2" t="s">
        <v>52</v>
      </c>
      <c r="C13" s="2" t="s">
        <v>30</v>
      </c>
      <c r="D13" s="2" t="s">
        <v>31</v>
      </c>
      <c r="E13" s="2"/>
      <c r="F13" s="2"/>
      <c r="G13" s="2">
        <v>1</v>
      </c>
      <c r="H13" s="2">
        <v>1.38</v>
      </c>
      <c r="I13" s="2">
        <v>9.3699999999999992</v>
      </c>
      <c r="J13" s="2"/>
      <c r="K13" s="2"/>
      <c r="L13" s="2"/>
      <c r="M13" s="2"/>
      <c r="N13" s="2"/>
      <c r="O13" s="2">
        <v>308000</v>
      </c>
      <c r="P13" s="6">
        <f t="shared" ref="P13:P15" si="3">O13-AA13</f>
        <v>209200</v>
      </c>
      <c r="Q13" s="2">
        <v>80000</v>
      </c>
      <c r="R13" s="2" t="s">
        <v>33</v>
      </c>
      <c r="S13" s="2" t="s">
        <v>53</v>
      </c>
      <c r="T13" s="2">
        <v>7</v>
      </c>
      <c r="U13" s="2">
        <v>7</v>
      </c>
      <c r="V13" s="2">
        <v>76.2</v>
      </c>
      <c r="W13" s="2">
        <v>4</v>
      </c>
      <c r="X13" s="2">
        <v>100</v>
      </c>
      <c r="Y13" s="2">
        <v>10</v>
      </c>
      <c r="Z13" s="2">
        <v>247000</v>
      </c>
      <c r="AA13" s="2">
        <f>Z13*0.4</f>
        <v>98800</v>
      </c>
      <c r="AB13" s="2">
        <v>48</v>
      </c>
      <c r="AC13" s="2"/>
      <c r="AD13" s="2">
        <v>16</v>
      </c>
      <c r="AE13" s="2">
        <v>16</v>
      </c>
      <c r="AF13" s="3">
        <v>40729</v>
      </c>
      <c r="AG13" s="2">
        <v>1.5</v>
      </c>
      <c r="AH13" s="2">
        <v>15.5</v>
      </c>
      <c r="AI13" s="2"/>
      <c r="AJ13" s="2">
        <v>48</v>
      </c>
      <c r="AK13" s="2" t="s">
        <v>35</v>
      </c>
      <c r="AL13" s="2">
        <v>81.707999999999998</v>
      </c>
      <c r="AM13" s="2" t="s">
        <v>39</v>
      </c>
      <c r="AN13" s="2">
        <f t="shared" si="0"/>
        <v>21.428571428571427</v>
      </c>
      <c r="AO13">
        <f t="shared" si="1"/>
        <v>221.42857142857142</v>
      </c>
      <c r="AR13" t="s">
        <v>101</v>
      </c>
      <c r="AS13" s="8" t="s">
        <v>105</v>
      </c>
      <c r="AT13" t="s">
        <v>108</v>
      </c>
    </row>
    <row r="14" spans="1:46" x14ac:dyDescent="0.25">
      <c r="A14" s="2" t="s">
        <v>28</v>
      </c>
      <c r="B14" s="2" t="s">
        <v>54</v>
      </c>
      <c r="C14" s="2" t="s">
        <v>30</v>
      </c>
      <c r="D14" s="2" t="s">
        <v>31</v>
      </c>
      <c r="E14" s="2"/>
      <c r="F14" s="2"/>
      <c r="G14" s="2">
        <v>1</v>
      </c>
      <c r="H14" s="2">
        <v>1.38</v>
      </c>
      <c r="I14" s="2">
        <v>9.3699999999999992</v>
      </c>
      <c r="J14" s="2"/>
      <c r="K14" s="2"/>
      <c r="L14" s="2"/>
      <c r="M14" s="2"/>
      <c r="N14" s="2"/>
      <c r="O14" s="2">
        <v>308000</v>
      </c>
      <c r="P14" s="6">
        <f t="shared" si="3"/>
        <v>209200</v>
      </c>
      <c r="Q14" s="2">
        <v>80000</v>
      </c>
      <c r="R14" s="2" t="s">
        <v>33</v>
      </c>
      <c r="S14" s="2" t="s">
        <v>53</v>
      </c>
      <c r="T14" s="2">
        <v>7</v>
      </c>
      <c r="U14" s="2">
        <v>7.35</v>
      </c>
      <c r="V14" s="2">
        <v>76.2</v>
      </c>
      <c r="W14" s="2">
        <v>4</v>
      </c>
      <c r="X14" s="2">
        <v>100</v>
      </c>
      <c r="Y14" s="2">
        <v>10</v>
      </c>
      <c r="Z14" s="2">
        <v>247000</v>
      </c>
      <c r="AA14" s="2">
        <f t="shared" ref="AA14:AA15" si="4">Z14*0.4</f>
        <v>98800</v>
      </c>
      <c r="AB14" s="2">
        <v>48</v>
      </c>
      <c r="AC14" s="2"/>
      <c r="AD14" s="2">
        <v>16</v>
      </c>
      <c r="AE14" s="2">
        <v>10.5</v>
      </c>
      <c r="AF14" s="3">
        <v>40729</v>
      </c>
      <c r="AG14" s="2">
        <v>1.5</v>
      </c>
      <c r="AH14" s="2">
        <v>9.5</v>
      </c>
      <c r="AI14" s="2"/>
      <c r="AJ14" s="2">
        <v>48</v>
      </c>
      <c r="AK14" s="2" t="s">
        <v>35</v>
      </c>
      <c r="AL14" s="2">
        <v>81.691999999999993</v>
      </c>
      <c r="AM14" s="2" t="s">
        <v>39</v>
      </c>
      <c r="AN14" s="2">
        <f t="shared" si="0"/>
        <v>20.408163265306122</v>
      </c>
      <c r="AO14">
        <f t="shared" si="1"/>
        <v>129.25170068027211</v>
      </c>
      <c r="AR14" t="s">
        <v>101</v>
      </c>
      <c r="AS14" s="8" t="s">
        <v>105</v>
      </c>
      <c r="AT14" t="s">
        <v>108</v>
      </c>
    </row>
    <row r="15" spans="1:46" x14ac:dyDescent="0.25">
      <c r="A15" s="2" t="s">
        <v>28</v>
      </c>
      <c r="B15" s="2" t="s">
        <v>55</v>
      </c>
      <c r="C15" s="2" t="s">
        <v>30</v>
      </c>
      <c r="D15" s="2" t="s">
        <v>31</v>
      </c>
      <c r="E15" s="2"/>
      <c r="F15" s="2"/>
      <c r="G15" s="2">
        <v>1</v>
      </c>
      <c r="H15" s="2">
        <v>1.38</v>
      </c>
      <c r="I15" s="2">
        <v>9.3699999999999992</v>
      </c>
      <c r="J15" s="2"/>
      <c r="K15" s="2"/>
      <c r="L15" s="2"/>
      <c r="M15" s="2"/>
      <c r="N15" s="2"/>
      <c r="O15" s="2">
        <v>308000</v>
      </c>
      <c r="P15" s="6">
        <f t="shared" si="3"/>
        <v>209200</v>
      </c>
      <c r="Q15" s="2">
        <v>80000</v>
      </c>
      <c r="R15" s="2" t="s">
        <v>33</v>
      </c>
      <c r="S15" s="2" t="s">
        <v>53</v>
      </c>
      <c r="T15" s="2">
        <v>7</v>
      </c>
      <c r="U15" s="2">
        <v>7</v>
      </c>
      <c r="V15" s="2">
        <v>76.2</v>
      </c>
      <c r="W15" s="2">
        <v>4</v>
      </c>
      <c r="X15" s="2">
        <v>100</v>
      </c>
      <c r="Y15" s="2">
        <v>10</v>
      </c>
      <c r="Z15" s="2">
        <v>247000</v>
      </c>
      <c r="AA15" s="2">
        <f t="shared" si="4"/>
        <v>98800</v>
      </c>
      <c r="AB15" s="2">
        <v>48</v>
      </c>
      <c r="AC15" s="2"/>
      <c r="AD15" s="2">
        <v>16</v>
      </c>
      <c r="AE15" s="2">
        <v>16</v>
      </c>
      <c r="AF15" s="3">
        <v>40729</v>
      </c>
      <c r="AG15" s="2">
        <v>1.5</v>
      </c>
      <c r="AH15" s="2">
        <v>15.5</v>
      </c>
      <c r="AI15" s="2"/>
      <c r="AJ15" s="2">
        <v>48</v>
      </c>
      <c r="AK15" s="2" t="s">
        <v>35</v>
      </c>
      <c r="AL15" s="2">
        <v>81.707999999999998</v>
      </c>
      <c r="AM15" s="2" t="s">
        <v>39</v>
      </c>
      <c r="AN15" s="2">
        <f t="shared" si="0"/>
        <v>21.428571428571427</v>
      </c>
      <c r="AO15">
        <f t="shared" si="1"/>
        <v>221.42857142857142</v>
      </c>
      <c r="AR15" t="s">
        <v>101</v>
      </c>
      <c r="AS15" s="8" t="s">
        <v>105</v>
      </c>
      <c r="AT15" t="s">
        <v>108</v>
      </c>
    </row>
    <row r="16" spans="1:46" x14ac:dyDescent="0.25">
      <c r="A16" s="2" t="s">
        <v>28</v>
      </c>
      <c r="B16" s="2" t="s">
        <v>56</v>
      </c>
      <c r="C16" s="2" t="s">
        <v>30</v>
      </c>
      <c r="D16" s="2" t="s">
        <v>57</v>
      </c>
      <c r="E16" s="2"/>
      <c r="F16" s="2"/>
      <c r="G16" s="2">
        <v>1</v>
      </c>
      <c r="H16" s="2">
        <v>1.25</v>
      </c>
      <c r="I16" s="2">
        <v>25.95</v>
      </c>
      <c r="J16" s="2"/>
      <c r="K16" s="2"/>
      <c r="L16" s="2"/>
      <c r="M16" s="2"/>
      <c r="N16" s="2"/>
      <c r="O16" s="2"/>
      <c r="Q16" s="2">
        <v>35000</v>
      </c>
      <c r="R16" s="2" t="s">
        <v>33</v>
      </c>
      <c r="S16" s="2" t="s">
        <v>58</v>
      </c>
      <c r="T16" s="2">
        <v>0.02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35</v>
      </c>
      <c r="AL16" s="2"/>
      <c r="AM16" s="2"/>
      <c r="AN16" s="2" t="e">
        <f t="shared" si="0"/>
        <v>#DIV/0!</v>
      </c>
      <c r="AO16" t="e">
        <f t="shared" si="1"/>
        <v>#DIV/0!</v>
      </c>
    </row>
    <row r="17" spans="1:46" x14ac:dyDescent="0.25">
      <c r="A17" s="2" t="s">
        <v>28</v>
      </c>
      <c r="B17" s="2" t="s">
        <v>59</v>
      </c>
      <c r="C17" s="2" t="s">
        <v>60</v>
      </c>
      <c r="D17" s="2" t="s">
        <v>31</v>
      </c>
      <c r="E17" s="2">
        <v>0.23</v>
      </c>
      <c r="F17" s="2" t="s">
        <v>61</v>
      </c>
      <c r="G17" s="2"/>
      <c r="H17" s="2"/>
      <c r="I17" s="2"/>
      <c r="J17" s="2"/>
      <c r="K17" s="2">
        <v>946</v>
      </c>
      <c r="L17" s="2" t="s">
        <v>62</v>
      </c>
      <c r="M17" s="2"/>
      <c r="N17" s="2"/>
      <c r="O17" s="2"/>
      <c r="Q17" s="2" t="s">
        <v>32</v>
      </c>
      <c r="R17" s="2" t="s">
        <v>63</v>
      </c>
      <c r="S17" s="2" t="s">
        <v>64</v>
      </c>
      <c r="T17" s="2">
        <v>71</v>
      </c>
      <c r="U17" s="2">
        <v>71</v>
      </c>
      <c r="V17" s="2"/>
      <c r="W17" s="2"/>
      <c r="X17" s="2"/>
      <c r="Y17" s="2"/>
      <c r="Z17" s="2"/>
      <c r="AA17" s="2"/>
      <c r="AB17" s="2"/>
      <c r="AC17" s="2"/>
      <c r="AD17" s="2">
        <v>10</v>
      </c>
      <c r="AE17" s="2">
        <v>10</v>
      </c>
      <c r="AF17" s="3">
        <v>40729</v>
      </c>
      <c r="AG17" s="2">
        <v>0</v>
      </c>
      <c r="AH17" s="2">
        <v>10</v>
      </c>
      <c r="AI17" s="2"/>
      <c r="AJ17" s="2">
        <v>121</v>
      </c>
      <c r="AK17" s="2" t="s">
        <v>35</v>
      </c>
      <c r="AL17" s="2" t="s">
        <v>32</v>
      </c>
      <c r="AM17" s="2" t="s">
        <v>39</v>
      </c>
      <c r="AN17" s="2">
        <f t="shared" si="0"/>
        <v>0</v>
      </c>
      <c r="AO17">
        <f t="shared" si="1"/>
        <v>14.084507042253522</v>
      </c>
      <c r="AR17" t="s">
        <v>100</v>
      </c>
      <c r="AS17" s="8" t="s">
        <v>104</v>
      </c>
      <c r="AT17" t="s">
        <v>107</v>
      </c>
    </row>
    <row r="18" spans="1:46" x14ac:dyDescent="0.25">
      <c r="A18" s="2" t="s">
        <v>28</v>
      </c>
      <c r="B18" s="2" t="s">
        <v>65</v>
      </c>
      <c r="C18" s="2" t="s">
        <v>60</v>
      </c>
      <c r="D18" s="2" t="s">
        <v>31</v>
      </c>
      <c r="E18" s="2">
        <v>0.23</v>
      </c>
      <c r="F18" s="2" t="s">
        <v>61</v>
      </c>
      <c r="G18" s="2"/>
      <c r="H18" s="2"/>
      <c r="I18" s="2"/>
      <c r="J18" s="2"/>
      <c r="K18" s="2">
        <v>946</v>
      </c>
      <c r="L18" s="2" t="s">
        <v>62</v>
      </c>
      <c r="M18" s="2"/>
      <c r="N18" s="2"/>
      <c r="O18" s="2"/>
      <c r="Q18" s="2" t="s">
        <v>32</v>
      </c>
      <c r="R18" s="2" t="s">
        <v>63</v>
      </c>
      <c r="S18" s="2" t="s">
        <v>64</v>
      </c>
      <c r="T18" s="2">
        <v>71</v>
      </c>
      <c r="U18" s="2">
        <v>71</v>
      </c>
      <c r="W18" s="2"/>
      <c r="X18" s="2"/>
      <c r="Y18" s="2"/>
      <c r="Z18" s="2"/>
      <c r="AA18" s="2"/>
      <c r="AB18" s="2"/>
      <c r="AC18" s="2"/>
      <c r="AD18" s="2">
        <v>10</v>
      </c>
      <c r="AE18" s="2">
        <v>10</v>
      </c>
      <c r="AF18" s="3">
        <v>40729</v>
      </c>
      <c r="AG18" s="2">
        <v>0</v>
      </c>
      <c r="AH18" s="2">
        <v>10</v>
      </c>
      <c r="AI18" s="2"/>
      <c r="AJ18" s="2">
        <v>121</v>
      </c>
      <c r="AK18" s="2" t="s">
        <v>35</v>
      </c>
      <c r="AL18" s="2" t="s">
        <v>32</v>
      </c>
      <c r="AM18" s="2" t="s">
        <v>39</v>
      </c>
      <c r="AN18" s="2">
        <f t="shared" si="0"/>
        <v>0</v>
      </c>
      <c r="AO18">
        <f t="shared" si="1"/>
        <v>14.084507042253522</v>
      </c>
      <c r="AR18" t="s">
        <v>100</v>
      </c>
      <c r="AS18" s="8" t="s">
        <v>104</v>
      </c>
      <c r="AT18" t="s">
        <v>107</v>
      </c>
    </row>
    <row r="19" spans="1:46" x14ac:dyDescent="0.25">
      <c r="A19" s="2" t="s">
        <v>28</v>
      </c>
      <c r="B19" s="2" t="s">
        <v>66</v>
      </c>
      <c r="C19" s="2" t="s">
        <v>67</v>
      </c>
      <c r="D19" s="2" t="s">
        <v>31</v>
      </c>
      <c r="E19" s="2"/>
      <c r="F19" s="2"/>
      <c r="G19" s="2">
        <v>0.87</v>
      </c>
      <c r="H19" s="2">
        <v>1.1599999999999999</v>
      </c>
      <c r="I19" s="2">
        <v>18.02</v>
      </c>
      <c r="J19" s="2"/>
      <c r="K19" s="2">
        <v>24.62</v>
      </c>
      <c r="L19" s="2" t="s">
        <v>62</v>
      </c>
      <c r="M19" s="2">
        <v>0.88</v>
      </c>
      <c r="N19" s="2"/>
      <c r="O19" s="2">
        <v>410000</v>
      </c>
      <c r="P19" s="5">
        <f>O19-AA19</f>
        <v>254800</v>
      </c>
      <c r="Q19" s="2">
        <v>254500</v>
      </c>
      <c r="R19" s="2" t="s">
        <v>63</v>
      </c>
      <c r="S19" s="2" t="s">
        <v>68</v>
      </c>
      <c r="T19" s="2">
        <v>52</v>
      </c>
      <c r="U19" s="2">
        <v>52</v>
      </c>
      <c r="V19" s="2">
        <v>112</v>
      </c>
      <c r="W19" s="2">
        <v>52</v>
      </c>
      <c r="X19" s="2">
        <v>98</v>
      </c>
      <c r="Y19" s="2">
        <v>44</v>
      </c>
      <c r="Z19" s="2">
        <v>388000</v>
      </c>
      <c r="AA19" s="4">
        <f>Z19*0.4</f>
        <v>155200</v>
      </c>
      <c r="AB19" s="4">
        <v>483</v>
      </c>
      <c r="AC19" s="2"/>
      <c r="AD19" s="2">
        <v>16</v>
      </c>
      <c r="AE19" s="2">
        <v>16</v>
      </c>
      <c r="AF19" s="3">
        <v>40729</v>
      </c>
      <c r="AG19" s="2">
        <v>0</v>
      </c>
      <c r="AH19" s="2">
        <v>16</v>
      </c>
      <c r="AI19" s="2"/>
      <c r="AJ19" s="2">
        <v>345</v>
      </c>
      <c r="AK19" s="2" t="s">
        <v>35</v>
      </c>
      <c r="AL19" s="2">
        <v>92.090999999999994</v>
      </c>
      <c r="AM19" s="2" t="s">
        <v>39</v>
      </c>
      <c r="AN19" s="2">
        <f t="shared" si="0"/>
        <v>0</v>
      </c>
      <c r="AO19">
        <f t="shared" si="1"/>
        <v>30.76923076923077</v>
      </c>
      <c r="AR19" t="s">
        <v>102</v>
      </c>
      <c r="AS19" s="8" t="s">
        <v>104</v>
      </c>
      <c r="AT19" t="s">
        <v>107</v>
      </c>
    </row>
    <row r="20" spans="1:46" x14ac:dyDescent="0.25">
      <c r="A20" s="2" t="s">
        <v>28</v>
      </c>
      <c r="B20" s="2" t="s">
        <v>69</v>
      </c>
      <c r="C20" s="2" t="s">
        <v>67</v>
      </c>
      <c r="D20" s="2" t="s">
        <v>31</v>
      </c>
      <c r="E20" s="2"/>
      <c r="F20" s="2"/>
      <c r="G20" s="2">
        <v>0.87</v>
      </c>
      <c r="H20" s="2">
        <v>1.1599999999999999</v>
      </c>
      <c r="I20" s="2">
        <v>18.02</v>
      </c>
      <c r="J20" s="2"/>
      <c r="K20" s="2">
        <v>24.62</v>
      </c>
      <c r="L20" s="2" t="s">
        <v>62</v>
      </c>
      <c r="M20" s="2">
        <v>0.88</v>
      </c>
      <c r="N20" s="2"/>
      <c r="O20" s="2">
        <v>410000</v>
      </c>
      <c r="P20" s="5">
        <f>O20-AA20</f>
        <v>254800</v>
      </c>
      <c r="Q20" s="2">
        <v>254500</v>
      </c>
      <c r="R20" s="2" t="s">
        <v>63</v>
      </c>
      <c r="S20" s="2" t="s">
        <v>68</v>
      </c>
      <c r="T20" s="2">
        <v>52</v>
      </c>
      <c r="U20" s="2">
        <v>54.6</v>
      </c>
      <c r="V20" s="2">
        <v>112</v>
      </c>
      <c r="W20" s="2">
        <v>52</v>
      </c>
      <c r="X20" s="2">
        <v>98</v>
      </c>
      <c r="Y20" s="2">
        <v>44</v>
      </c>
      <c r="Z20" s="2">
        <v>388000</v>
      </c>
      <c r="AA20" s="4">
        <f t="shared" ref="AA20:AA30" si="5">Z20*0.4</f>
        <v>155200</v>
      </c>
      <c r="AB20" s="4">
        <v>483</v>
      </c>
      <c r="AC20" s="2"/>
      <c r="AD20" s="2">
        <v>16</v>
      </c>
      <c r="AE20" s="2">
        <v>10.5</v>
      </c>
      <c r="AF20" s="3">
        <v>40729</v>
      </c>
      <c r="AG20" s="2">
        <v>0</v>
      </c>
      <c r="AH20" s="2">
        <v>10.5</v>
      </c>
      <c r="AI20" s="2"/>
      <c r="AJ20" s="2">
        <v>345</v>
      </c>
      <c r="AK20" s="2" t="s">
        <v>35</v>
      </c>
      <c r="AL20" s="2">
        <v>92.070999999999998</v>
      </c>
      <c r="AM20" s="2" t="s">
        <v>39</v>
      </c>
      <c r="AN20" s="2">
        <f t="shared" si="0"/>
        <v>0</v>
      </c>
      <c r="AO20">
        <f t="shared" si="1"/>
        <v>19.23076923076923</v>
      </c>
      <c r="AR20" t="s">
        <v>100</v>
      </c>
      <c r="AS20" s="8" t="s">
        <v>104</v>
      </c>
      <c r="AT20" t="s">
        <v>107</v>
      </c>
    </row>
    <row r="21" spans="1:46" x14ac:dyDescent="0.25">
      <c r="A21" s="2" t="s">
        <v>28</v>
      </c>
      <c r="B21" s="2" t="s">
        <v>70</v>
      </c>
      <c r="C21" s="2" t="s">
        <v>67</v>
      </c>
      <c r="D21" s="2" t="s">
        <v>31</v>
      </c>
      <c r="E21" s="2"/>
      <c r="F21" s="2"/>
      <c r="G21" s="2">
        <v>0.87</v>
      </c>
      <c r="H21" s="2">
        <v>1.1599999999999999</v>
      </c>
      <c r="I21" s="2">
        <v>18.02</v>
      </c>
      <c r="J21" s="2"/>
      <c r="K21" s="2">
        <v>23.98</v>
      </c>
      <c r="L21" s="2" t="s">
        <v>62</v>
      </c>
      <c r="M21" s="2">
        <v>0.88</v>
      </c>
      <c r="N21" s="2"/>
      <c r="O21" s="2">
        <v>410000</v>
      </c>
      <c r="P21" s="5">
        <f>O21-AA21</f>
        <v>254800</v>
      </c>
      <c r="Q21" s="2">
        <v>254500</v>
      </c>
      <c r="R21" s="2" t="s">
        <v>63</v>
      </c>
      <c r="S21" s="2" t="s">
        <v>68</v>
      </c>
      <c r="T21" s="2">
        <v>52</v>
      </c>
      <c r="U21" s="2">
        <v>52</v>
      </c>
      <c r="V21" s="2">
        <v>112</v>
      </c>
      <c r="W21" s="2">
        <v>52</v>
      </c>
      <c r="X21" s="2">
        <v>98</v>
      </c>
      <c r="Y21" s="2">
        <v>44</v>
      </c>
      <c r="Z21" s="2">
        <v>388000</v>
      </c>
      <c r="AA21" s="4">
        <f t="shared" si="5"/>
        <v>155200</v>
      </c>
      <c r="AB21" s="4">
        <v>483</v>
      </c>
      <c r="AC21" s="2"/>
      <c r="AD21" s="2">
        <v>16</v>
      </c>
      <c r="AE21" s="2">
        <v>16</v>
      </c>
      <c r="AF21" s="3">
        <v>40729</v>
      </c>
      <c r="AG21" s="2">
        <v>0</v>
      </c>
      <c r="AH21" s="2">
        <v>16</v>
      </c>
      <c r="AI21" s="2"/>
      <c r="AJ21" s="2">
        <v>345</v>
      </c>
      <c r="AK21" s="2" t="s">
        <v>35</v>
      </c>
      <c r="AL21" s="2">
        <v>92.090999999999994</v>
      </c>
      <c r="AM21" s="2" t="s">
        <v>39</v>
      </c>
      <c r="AN21" s="2">
        <f t="shared" si="0"/>
        <v>0</v>
      </c>
      <c r="AO21">
        <f t="shared" si="1"/>
        <v>30.76923076923077</v>
      </c>
      <c r="AR21" t="s">
        <v>102</v>
      </c>
      <c r="AS21" s="8" t="s">
        <v>104</v>
      </c>
      <c r="AT21" t="s">
        <v>107</v>
      </c>
    </row>
    <row r="22" spans="1:46" x14ac:dyDescent="0.25">
      <c r="A22" s="2" t="s">
        <v>28</v>
      </c>
      <c r="B22" s="2" t="s">
        <v>71</v>
      </c>
      <c r="C22" s="2" t="s">
        <v>67</v>
      </c>
      <c r="D22" s="2" t="s">
        <v>31</v>
      </c>
      <c r="E22" s="2"/>
      <c r="F22" s="2"/>
      <c r="G22" s="2">
        <v>0.92</v>
      </c>
      <c r="H22" s="2">
        <v>1.21</v>
      </c>
      <c r="I22" s="2">
        <v>18.02</v>
      </c>
      <c r="J22" s="2"/>
      <c r="K22" s="2">
        <v>20.010000000000002</v>
      </c>
      <c r="L22" s="2" t="s">
        <v>62</v>
      </c>
      <c r="M22" s="2">
        <v>0.83</v>
      </c>
      <c r="N22" s="2"/>
      <c r="O22" s="2">
        <v>103000</v>
      </c>
      <c r="P22" s="7">
        <f>O22-AA22</f>
        <v>63800</v>
      </c>
      <c r="Q22" s="2">
        <v>267300</v>
      </c>
      <c r="R22" s="2" t="s">
        <v>63</v>
      </c>
      <c r="S22" s="2" t="s">
        <v>72</v>
      </c>
      <c r="T22" s="2">
        <v>52</v>
      </c>
      <c r="U22" s="2">
        <v>52</v>
      </c>
      <c r="V22" s="2">
        <v>112</v>
      </c>
      <c r="W22" s="2">
        <v>52</v>
      </c>
      <c r="X22" s="2">
        <v>98</v>
      </c>
      <c r="Y22" s="2">
        <v>44</v>
      </c>
      <c r="Z22" s="2">
        <v>98000</v>
      </c>
      <c r="AA22" s="4">
        <f t="shared" si="5"/>
        <v>39200</v>
      </c>
      <c r="AB22" s="2"/>
      <c r="AC22" s="2"/>
      <c r="AD22" s="2">
        <v>10</v>
      </c>
      <c r="AE22" s="2">
        <v>10</v>
      </c>
      <c r="AF22" s="3">
        <v>40729</v>
      </c>
      <c r="AG22" s="2">
        <v>0</v>
      </c>
      <c r="AH22" s="2">
        <v>10</v>
      </c>
      <c r="AI22" s="2"/>
      <c r="AJ22" s="2">
        <v>410</v>
      </c>
      <c r="AK22" s="2" t="s">
        <v>35</v>
      </c>
      <c r="AL22" s="2">
        <v>108.04</v>
      </c>
      <c r="AM22" s="2" t="s">
        <v>39</v>
      </c>
      <c r="AN22" s="2">
        <f t="shared" si="0"/>
        <v>0</v>
      </c>
      <c r="AO22">
        <f t="shared" si="1"/>
        <v>19.23076923076923</v>
      </c>
      <c r="AR22" t="s">
        <v>100</v>
      </c>
      <c r="AS22" s="8" t="s">
        <v>104</v>
      </c>
      <c r="AT22" t="s">
        <v>107</v>
      </c>
    </row>
    <row r="23" spans="1:46" x14ac:dyDescent="0.25">
      <c r="A23" s="2" t="s">
        <v>28</v>
      </c>
      <c r="B23" s="2" t="s">
        <v>73</v>
      </c>
      <c r="C23" s="2" t="s">
        <v>67</v>
      </c>
      <c r="D23" s="2" t="s">
        <v>31</v>
      </c>
      <c r="E23" s="2"/>
      <c r="F23" s="2"/>
      <c r="G23" s="2">
        <v>0.92</v>
      </c>
      <c r="H23" s="2">
        <v>1.21</v>
      </c>
      <c r="I23" s="2">
        <v>18.02</v>
      </c>
      <c r="J23" s="2"/>
      <c r="K23" s="2">
        <v>20.010000000000002</v>
      </c>
      <c r="L23" s="2" t="s">
        <v>62</v>
      </c>
      <c r="M23" s="2">
        <v>0.83</v>
      </c>
      <c r="N23" s="2"/>
      <c r="O23" s="2">
        <v>103000</v>
      </c>
      <c r="P23" s="7">
        <f>O23-AA23</f>
        <v>63800</v>
      </c>
      <c r="Q23" s="2">
        <v>267300</v>
      </c>
      <c r="R23" s="2" t="s">
        <v>63</v>
      </c>
      <c r="S23" s="2" t="s">
        <v>72</v>
      </c>
      <c r="T23" s="2">
        <v>52</v>
      </c>
      <c r="U23" s="2">
        <v>52</v>
      </c>
      <c r="V23" s="2">
        <v>112</v>
      </c>
      <c r="W23" s="2">
        <v>52</v>
      </c>
      <c r="X23" s="2">
        <v>98</v>
      </c>
      <c r="Y23" s="2">
        <v>44</v>
      </c>
      <c r="Z23" s="2">
        <v>98000</v>
      </c>
      <c r="AA23" s="4">
        <f t="shared" si="5"/>
        <v>39200</v>
      </c>
      <c r="AB23" s="2"/>
      <c r="AC23" s="2"/>
      <c r="AD23" s="2">
        <v>10</v>
      </c>
      <c r="AE23" s="2">
        <v>10</v>
      </c>
      <c r="AF23" s="3">
        <v>40729</v>
      </c>
      <c r="AG23" s="2">
        <v>0</v>
      </c>
      <c r="AH23" s="2">
        <v>10</v>
      </c>
      <c r="AI23" s="2"/>
      <c r="AJ23" s="2">
        <v>410</v>
      </c>
      <c r="AK23" s="2" t="s">
        <v>35</v>
      </c>
      <c r="AL23" s="2">
        <v>108.04</v>
      </c>
      <c r="AM23" s="2" t="s">
        <v>39</v>
      </c>
      <c r="AN23" s="2">
        <f t="shared" si="0"/>
        <v>0</v>
      </c>
      <c r="AO23">
        <f t="shared" si="1"/>
        <v>19.23076923076923</v>
      </c>
      <c r="AR23" t="s">
        <v>100</v>
      </c>
      <c r="AS23" s="8" t="s">
        <v>104</v>
      </c>
      <c r="AT23" t="s">
        <v>107</v>
      </c>
    </row>
    <row r="24" spans="1:46" x14ac:dyDescent="0.25">
      <c r="A24" s="2" t="s">
        <v>28</v>
      </c>
      <c r="B24" s="2" t="s">
        <v>74</v>
      </c>
      <c r="C24" s="2" t="s">
        <v>67</v>
      </c>
      <c r="D24" s="2" t="s">
        <v>31</v>
      </c>
      <c r="E24" s="2"/>
      <c r="F24" s="2"/>
      <c r="G24" s="2">
        <v>0.8</v>
      </c>
      <c r="H24" s="2">
        <v>1.1000000000000001</v>
      </c>
      <c r="I24" s="2">
        <v>18.02</v>
      </c>
      <c r="J24" s="2"/>
      <c r="K24" s="2">
        <v>25.58</v>
      </c>
      <c r="L24" s="2" t="s">
        <v>62</v>
      </c>
      <c r="M24" s="2">
        <v>1</v>
      </c>
      <c r="N24" s="2"/>
      <c r="O24" s="2"/>
      <c r="P24" s="2"/>
      <c r="Q24" s="2" t="s">
        <v>32</v>
      </c>
      <c r="R24" s="2" t="s">
        <v>63</v>
      </c>
      <c r="S24" s="2" t="s">
        <v>75</v>
      </c>
      <c r="T24" s="2">
        <v>45</v>
      </c>
      <c r="U24" s="2">
        <v>45</v>
      </c>
      <c r="V24" s="2"/>
      <c r="W24" s="2"/>
      <c r="X24" s="2"/>
      <c r="Y24" s="2"/>
      <c r="Z24" s="2"/>
      <c r="AA24" s="4"/>
      <c r="AB24" s="2"/>
      <c r="AC24" s="2"/>
      <c r="AD24" s="2">
        <v>10</v>
      </c>
      <c r="AE24" s="2">
        <v>10</v>
      </c>
      <c r="AF24" s="3">
        <v>40729</v>
      </c>
      <c r="AG24" s="2">
        <v>0</v>
      </c>
      <c r="AH24" s="2">
        <v>10</v>
      </c>
      <c r="AI24" s="2"/>
      <c r="AJ24" s="2">
        <v>265</v>
      </c>
      <c r="AK24" s="2" t="s">
        <v>35</v>
      </c>
      <c r="AL24" s="2">
        <v>0.71</v>
      </c>
      <c r="AM24" s="2" t="s">
        <v>39</v>
      </c>
      <c r="AN24" s="2">
        <f t="shared" si="0"/>
        <v>0</v>
      </c>
      <c r="AO24">
        <f t="shared" si="1"/>
        <v>22.222222222222221</v>
      </c>
      <c r="AR24" t="s">
        <v>100</v>
      </c>
      <c r="AS24" s="8" t="s">
        <v>104</v>
      </c>
      <c r="AT24" t="s">
        <v>107</v>
      </c>
    </row>
    <row r="25" spans="1:46" x14ac:dyDescent="0.25">
      <c r="A25" s="2" t="s">
        <v>28</v>
      </c>
      <c r="B25" s="2" t="s">
        <v>76</v>
      </c>
      <c r="C25" s="2" t="s">
        <v>67</v>
      </c>
      <c r="D25" s="2" t="s">
        <v>31</v>
      </c>
      <c r="E25" s="2"/>
      <c r="F25" s="2"/>
      <c r="G25" s="2">
        <v>0.8</v>
      </c>
      <c r="H25" s="2">
        <v>1.1000000000000001</v>
      </c>
      <c r="I25" s="2">
        <v>18.02</v>
      </c>
      <c r="J25" s="2"/>
      <c r="K25" s="2">
        <v>25.58</v>
      </c>
      <c r="L25" s="2" t="s">
        <v>62</v>
      </c>
      <c r="M25" s="2">
        <v>1</v>
      </c>
      <c r="N25" s="2"/>
      <c r="O25" s="2"/>
      <c r="P25" s="2"/>
      <c r="Q25" s="2" t="s">
        <v>32</v>
      </c>
      <c r="R25" s="2" t="s">
        <v>63</v>
      </c>
      <c r="S25" s="2" t="s">
        <v>75</v>
      </c>
      <c r="T25" s="2">
        <v>45</v>
      </c>
      <c r="U25" s="2">
        <v>45</v>
      </c>
      <c r="V25" s="2"/>
      <c r="W25" s="2"/>
      <c r="X25" s="2"/>
      <c r="Y25" s="2"/>
      <c r="Z25" s="2"/>
      <c r="AA25" s="4"/>
      <c r="AB25" s="2"/>
      <c r="AC25" s="2"/>
      <c r="AD25" s="2">
        <v>10</v>
      </c>
      <c r="AE25" s="2">
        <v>10</v>
      </c>
      <c r="AF25" s="3">
        <v>40729</v>
      </c>
      <c r="AG25" s="2">
        <v>0</v>
      </c>
      <c r="AH25" s="2">
        <v>10</v>
      </c>
      <c r="AI25" s="2"/>
      <c r="AJ25" s="2">
        <v>265</v>
      </c>
      <c r="AK25" s="2" t="s">
        <v>35</v>
      </c>
      <c r="AL25" s="2">
        <v>0.71</v>
      </c>
      <c r="AM25" s="2" t="s">
        <v>39</v>
      </c>
      <c r="AN25" s="2">
        <f t="shared" si="0"/>
        <v>0</v>
      </c>
      <c r="AO25">
        <f t="shared" si="1"/>
        <v>22.222222222222221</v>
      </c>
      <c r="AR25" t="s">
        <v>100</v>
      </c>
      <c r="AS25" s="8" t="s">
        <v>104</v>
      </c>
      <c r="AT25" t="s">
        <v>107</v>
      </c>
    </row>
    <row r="26" spans="1:46" x14ac:dyDescent="0.25">
      <c r="A26" s="2" t="s">
        <v>28</v>
      </c>
      <c r="B26" s="2" t="s">
        <v>77</v>
      </c>
      <c r="C26" s="2" t="s">
        <v>67</v>
      </c>
      <c r="D26" s="2" t="s">
        <v>31</v>
      </c>
      <c r="E26" s="2"/>
      <c r="F26" s="2"/>
      <c r="G26" s="2">
        <v>0.93</v>
      </c>
      <c r="H26" s="2">
        <v>1.2</v>
      </c>
      <c r="I26" s="2">
        <v>18.02</v>
      </c>
      <c r="J26" s="2"/>
      <c r="K26" s="2">
        <v>5.93</v>
      </c>
      <c r="L26" s="2" t="s">
        <v>62</v>
      </c>
      <c r="M26" s="2">
        <v>0.99</v>
      </c>
      <c r="N26" s="2"/>
      <c r="O26" s="2">
        <v>141000</v>
      </c>
      <c r="P26" s="5">
        <f>O26-AA26</f>
        <v>89000</v>
      </c>
      <c r="Q26" s="2">
        <v>80063</v>
      </c>
      <c r="R26" s="2" t="s">
        <v>63</v>
      </c>
      <c r="S26" s="2" t="s">
        <v>78</v>
      </c>
      <c r="T26" s="2">
        <v>9.5</v>
      </c>
      <c r="U26" s="2">
        <v>9.5</v>
      </c>
      <c r="V26" s="2">
        <v>52</v>
      </c>
      <c r="W26" s="2">
        <v>9.5</v>
      </c>
      <c r="X26" s="2">
        <v>44</v>
      </c>
      <c r="Y26" s="2">
        <v>7.5</v>
      </c>
      <c r="Z26" s="2">
        <v>130000</v>
      </c>
      <c r="AA26" s="4">
        <f t="shared" si="5"/>
        <v>52000</v>
      </c>
      <c r="AB26" s="2">
        <v>327</v>
      </c>
      <c r="AC26" s="2"/>
      <c r="AD26" s="2">
        <v>16</v>
      </c>
      <c r="AE26" s="2">
        <v>16</v>
      </c>
      <c r="AF26" s="3">
        <v>40729</v>
      </c>
      <c r="AG26" s="2">
        <v>0</v>
      </c>
      <c r="AH26" s="2">
        <v>16</v>
      </c>
      <c r="AI26" s="2"/>
      <c r="AJ26" s="2">
        <v>200</v>
      </c>
      <c r="AK26" s="2" t="s">
        <v>35</v>
      </c>
      <c r="AL26" s="2">
        <v>131.25</v>
      </c>
      <c r="AM26" s="2" t="s">
        <v>39</v>
      </c>
      <c r="AN26" s="2">
        <f t="shared" si="0"/>
        <v>0</v>
      </c>
      <c r="AO26">
        <f t="shared" si="1"/>
        <v>168.42105263157896</v>
      </c>
      <c r="AR26" t="s">
        <v>101</v>
      </c>
      <c r="AS26" s="8" t="s">
        <v>104</v>
      </c>
      <c r="AT26" t="s">
        <v>107</v>
      </c>
    </row>
    <row r="27" spans="1:46" x14ac:dyDescent="0.25">
      <c r="A27" s="2" t="s">
        <v>28</v>
      </c>
      <c r="B27" s="2" t="s">
        <v>79</v>
      </c>
      <c r="C27" s="2" t="s">
        <v>67</v>
      </c>
      <c r="D27" s="2" t="s">
        <v>31</v>
      </c>
      <c r="E27" s="2"/>
      <c r="F27" s="2"/>
      <c r="G27" s="2">
        <v>0.93</v>
      </c>
      <c r="H27" s="2">
        <v>1.2</v>
      </c>
      <c r="I27" s="2">
        <v>18.02</v>
      </c>
      <c r="J27" s="2"/>
      <c r="K27" s="2">
        <v>5.93</v>
      </c>
      <c r="L27" s="2" t="s">
        <v>62</v>
      </c>
      <c r="M27" s="2">
        <v>0.99</v>
      </c>
      <c r="N27" s="2"/>
      <c r="O27" s="2">
        <v>141000</v>
      </c>
      <c r="P27" s="5">
        <f>O27-AA27</f>
        <v>89000</v>
      </c>
      <c r="Q27" s="2">
        <v>80063</v>
      </c>
      <c r="R27" s="2" t="s">
        <v>63</v>
      </c>
      <c r="S27" s="2" t="s">
        <v>78</v>
      </c>
      <c r="T27" s="2">
        <v>9.5</v>
      </c>
      <c r="U27" s="2">
        <v>9.9</v>
      </c>
      <c r="V27" s="2">
        <v>52</v>
      </c>
      <c r="W27" s="2">
        <v>9.5</v>
      </c>
      <c r="X27" s="2">
        <v>44</v>
      </c>
      <c r="Y27" s="2">
        <v>7.5</v>
      </c>
      <c r="Z27" s="2">
        <v>130000</v>
      </c>
      <c r="AA27" s="4">
        <f t="shared" si="5"/>
        <v>52000</v>
      </c>
      <c r="AB27" s="2">
        <v>327</v>
      </c>
      <c r="AC27" s="2"/>
      <c r="AD27" s="2">
        <v>16</v>
      </c>
      <c r="AE27" s="2">
        <v>10.5</v>
      </c>
      <c r="AF27" s="3">
        <v>40729</v>
      </c>
      <c r="AG27" s="2">
        <v>0</v>
      </c>
      <c r="AH27" s="2">
        <v>10.5</v>
      </c>
      <c r="AI27" s="2"/>
      <c r="AJ27" s="2">
        <v>200</v>
      </c>
      <c r="AK27" s="2" t="s">
        <v>35</v>
      </c>
      <c r="AL27" s="2">
        <v>132.13999999999999</v>
      </c>
      <c r="AM27" s="2" t="s">
        <v>39</v>
      </c>
      <c r="AN27" s="2">
        <f t="shared" si="0"/>
        <v>0</v>
      </c>
      <c r="AO27">
        <f t="shared" si="1"/>
        <v>106.06060606060606</v>
      </c>
      <c r="AR27" t="s">
        <v>101</v>
      </c>
      <c r="AS27" s="8" t="s">
        <v>104</v>
      </c>
      <c r="AT27" t="s">
        <v>107</v>
      </c>
    </row>
    <row r="28" spans="1:46" x14ac:dyDescent="0.25">
      <c r="A28" s="2" t="s">
        <v>28</v>
      </c>
      <c r="B28" s="2" t="s">
        <v>80</v>
      </c>
      <c r="C28" s="2" t="s">
        <v>67</v>
      </c>
      <c r="D28" s="2" t="s">
        <v>31</v>
      </c>
      <c r="E28" s="2"/>
      <c r="F28" s="2"/>
      <c r="G28" s="2">
        <v>0.93</v>
      </c>
      <c r="H28" s="2">
        <v>1.2</v>
      </c>
      <c r="I28" s="2">
        <v>18.02</v>
      </c>
      <c r="J28" s="2"/>
      <c r="K28" s="2">
        <v>5.93</v>
      </c>
      <c r="L28" s="2" t="s">
        <v>62</v>
      </c>
      <c r="M28" s="2">
        <v>0.99</v>
      </c>
      <c r="N28" s="2"/>
      <c r="O28" s="2">
        <v>141000</v>
      </c>
      <c r="P28" s="5">
        <f>O28-AA28</f>
        <v>89000</v>
      </c>
      <c r="Q28" s="2">
        <v>80063</v>
      </c>
      <c r="R28" s="2" t="s">
        <v>63</v>
      </c>
      <c r="S28" s="2" t="s">
        <v>78</v>
      </c>
      <c r="T28" s="2">
        <v>9.5</v>
      </c>
      <c r="U28" s="2">
        <v>9.9</v>
      </c>
      <c r="V28" s="2">
        <v>52</v>
      </c>
      <c r="W28" s="2">
        <v>9.5</v>
      </c>
      <c r="X28" s="2">
        <v>44</v>
      </c>
      <c r="Y28" s="2">
        <v>7.5</v>
      </c>
      <c r="Z28" s="2">
        <v>130000</v>
      </c>
      <c r="AA28" s="4">
        <f t="shared" si="5"/>
        <v>52000</v>
      </c>
      <c r="AB28" s="2">
        <v>327</v>
      </c>
      <c r="AC28" s="2"/>
      <c r="AD28" s="2">
        <v>16</v>
      </c>
      <c r="AE28" s="2">
        <v>10.5</v>
      </c>
      <c r="AF28" s="3">
        <v>40729</v>
      </c>
      <c r="AG28" s="2">
        <v>0</v>
      </c>
      <c r="AH28" s="2">
        <v>10.5</v>
      </c>
      <c r="AI28" s="2"/>
      <c r="AJ28" s="2">
        <v>200</v>
      </c>
      <c r="AK28" s="2" t="s">
        <v>35</v>
      </c>
      <c r="AL28" s="2">
        <v>132.13999999999999</v>
      </c>
      <c r="AM28" s="2" t="s">
        <v>39</v>
      </c>
      <c r="AN28" s="2">
        <f t="shared" si="0"/>
        <v>0</v>
      </c>
      <c r="AO28">
        <f t="shared" si="1"/>
        <v>106.06060606060606</v>
      </c>
      <c r="AR28" t="s">
        <v>101</v>
      </c>
      <c r="AS28" s="8" t="s">
        <v>104</v>
      </c>
      <c r="AT28" t="s">
        <v>107</v>
      </c>
    </row>
    <row r="29" spans="1:46" x14ac:dyDescent="0.25">
      <c r="A29" s="2" t="s">
        <v>28</v>
      </c>
      <c r="B29" s="2" t="s">
        <v>81</v>
      </c>
      <c r="C29" s="2" t="s">
        <v>67</v>
      </c>
      <c r="D29" s="2" t="s">
        <v>31</v>
      </c>
      <c r="E29" s="2"/>
      <c r="F29" s="2"/>
      <c r="G29" s="2">
        <v>0.93</v>
      </c>
      <c r="H29" s="2">
        <v>1.2</v>
      </c>
      <c r="I29" s="2">
        <v>18.02</v>
      </c>
      <c r="J29" s="2"/>
      <c r="K29" s="2">
        <v>5.93</v>
      </c>
      <c r="L29" s="2" t="s">
        <v>62</v>
      </c>
      <c r="M29" s="2">
        <v>0.99</v>
      </c>
      <c r="N29" s="2"/>
      <c r="O29" s="2">
        <v>141000</v>
      </c>
      <c r="P29" s="5">
        <f>O29-AA29</f>
        <v>89000</v>
      </c>
      <c r="Q29" s="2">
        <v>80063</v>
      </c>
      <c r="R29" s="2" t="s">
        <v>63</v>
      </c>
      <c r="S29" s="2" t="s">
        <v>78</v>
      </c>
      <c r="T29" s="2">
        <v>9.5</v>
      </c>
      <c r="U29" s="2">
        <v>9.9</v>
      </c>
      <c r="V29" s="2">
        <v>52</v>
      </c>
      <c r="W29" s="2">
        <v>9.5</v>
      </c>
      <c r="X29" s="2">
        <v>44</v>
      </c>
      <c r="Y29" s="2">
        <v>7.5</v>
      </c>
      <c r="Z29" s="2">
        <v>130000</v>
      </c>
      <c r="AA29" s="4">
        <f t="shared" si="5"/>
        <v>52000</v>
      </c>
      <c r="AB29" s="2">
        <v>327</v>
      </c>
      <c r="AC29" s="2"/>
      <c r="AD29" s="2">
        <v>16</v>
      </c>
      <c r="AE29" s="2">
        <v>10.5</v>
      </c>
      <c r="AF29" s="3">
        <v>40729</v>
      </c>
      <c r="AG29" s="2">
        <v>0</v>
      </c>
      <c r="AH29" s="2">
        <v>10.5</v>
      </c>
      <c r="AI29" s="2"/>
      <c r="AJ29" s="2">
        <v>200</v>
      </c>
      <c r="AK29" s="2" t="s">
        <v>35</v>
      </c>
      <c r="AL29" s="2">
        <v>132.13999999999999</v>
      </c>
      <c r="AM29" s="2" t="s">
        <v>39</v>
      </c>
      <c r="AN29" s="2">
        <f t="shared" si="0"/>
        <v>0</v>
      </c>
      <c r="AO29">
        <f t="shared" si="1"/>
        <v>106.06060606060606</v>
      </c>
      <c r="AR29" t="s">
        <v>101</v>
      </c>
      <c r="AS29" s="8" t="s">
        <v>104</v>
      </c>
      <c r="AT29" t="s">
        <v>107</v>
      </c>
    </row>
    <row r="30" spans="1:46" x14ac:dyDescent="0.25">
      <c r="A30" s="2" t="s">
        <v>28</v>
      </c>
      <c r="B30" s="2" t="s">
        <v>82</v>
      </c>
      <c r="C30" s="2" t="s">
        <v>67</v>
      </c>
      <c r="D30" s="2" t="s">
        <v>31</v>
      </c>
      <c r="E30" s="2"/>
      <c r="F30" s="2"/>
      <c r="G30" s="2">
        <v>0.93</v>
      </c>
      <c r="H30" s="2">
        <v>1.2</v>
      </c>
      <c r="I30" s="2">
        <v>18.02</v>
      </c>
      <c r="J30" s="2"/>
      <c r="K30" s="2">
        <v>5.93</v>
      </c>
      <c r="L30" s="2" t="s">
        <v>62</v>
      </c>
      <c r="M30" s="2">
        <v>0.99</v>
      </c>
      <c r="N30" s="2"/>
      <c r="O30" s="2">
        <v>141000</v>
      </c>
      <c r="P30" s="5">
        <f>O30-AA30</f>
        <v>89000</v>
      </c>
      <c r="Q30" s="2">
        <v>80063</v>
      </c>
      <c r="R30" s="2" t="s">
        <v>63</v>
      </c>
      <c r="S30" s="2" t="s">
        <v>78</v>
      </c>
      <c r="T30" s="2">
        <v>9.5</v>
      </c>
      <c r="U30" s="2">
        <v>9.5</v>
      </c>
      <c r="V30" s="2">
        <v>52</v>
      </c>
      <c r="W30" s="2">
        <v>9.5</v>
      </c>
      <c r="X30" s="2">
        <v>44</v>
      </c>
      <c r="Y30" s="2">
        <v>7.5</v>
      </c>
      <c r="Z30" s="2">
        <v>130000</v>
      </c>
      <c r="AA30" s="4">
        <f t="shared" si="5"/>
        <v>52000</v>
      </c>
      <c r="AB30" s="2">
        <v>327</v>
      </c>
      <c r="AC30" s="2"/>
      <c r="AD30" s="2">
        <v>16</v>
      </c>
      <c r="AE30" s="2">
        <v>16</v>
      </c>
      <c r="AF30" s="3">
        <v>40729</v>
      </c>
      <c r="AG30" s="2">
        <v>0</v>
      </c>
      <c r="AH30" s="2">
        <v>16</v>
      </c>
      <c r="AI30" s="2"/>
      <c r="AJ30" s="2">
        <v>200</v>
      </c>
      <c r="AK30" s="2" t="s">
        <v>35</v>
      </c>
      <c r="AL30" s="2">
        <v>131.25</v>
      </c>
      <c r="AM30" s="2" t="s">
        <v>39</v>
      </c>
      <c r="AN30" s="2">
        <f t="shared" si="0"/>
        <v>0</v>
      </c>
      <c r="AO30">
        <f t="shared" si="1"/>
        <v>168.42105263157896</v>
      </c>
      <c r="AR30" t="s">
        <v>101</v>
      </c>
      <c r="AS30" s="8" t="s">
        <v>104</v>
      </c>
      <c r="AT30" t="s">
        <v>107</v>
      </c>
    </row>
    <row r="31" spans="1:46" x14ac:dyDescent="0.25">
      <c r="A31" s="2" t="s">
        <v>28</v>
      </c>
      <c r="B31" s="2" t="s">
        <v>83</v>
      </c>
      <c r="C31" s="2" t="s">
        <v>60</v>
      </c>
      <c r="D31" s="2" t="s">
        <v>31</v>
      </c>
      <c r="E31" s="2">
        <v>0.23</v>
      </c>
      <c r="F31" s="2" t="s">
        <v>61</v>
      </c>
      <c r="G31" s="2"/>
      <c r="H31" s="2"/>
      <c r="I31" s="2"/>
      <c r="J31" s="2"/>
      <c r="K31" s="2">
        <v>946</v>
      </c>
      <c r="L31" s="2" t="s">
        <v>62</v>
      </c>
      <c r="M31" s="2"/>
      <c r="N31" s="2"/>
      <c r="O31" s="2"/>
      <c r="P31" s="2"/>
      <c r="Q31" s="2">
        <v>255000</v>
      </c>
      <c r="R31" s="2" t="s">
        <v>63</v>
      </c>
      <c r="S31" s="2" t="s">
        <v>84</v>
      </c>
      <c r="T31" s="2">
        <v>80</v>
      </c>
      <c r="U31" s="2">
        <v>80</v>
      </c>
      <c r="V31" s="2">
        <v>170</v>
      </c>
      <c r="W31" s="2">
        <v>80</v>
      </c>
      <c r="X31" s="2">
        <v>120</v>
      </c>
      <c r="Y31" s="2">
        <v>50</v>
      </c>
      <c r="Z31" s="2">
        <v>294</v>
      </c>
      <c r="AA31" s="2">
        <f>Z31*0.4</f>
        <v>117.60000000000001</v>
      </c>
      <c r="AB31" s="2">
        <v>39.200000000000003</v>
      </c>
      <c r="AC31" s="2">
        <v>52</v>
      </c>
      <c r="AD31" s="2">
        <v>10</v>
      </c>
      <c r="AE31" s="2">
        <v>10</v>
      </c>
      <c r="AF31" s="2" t="s">
        <v>85</v>
      </c>
      <c r="AG31" s="2">
        <v>0</v>
      </c>
      <c r="AH31" s="2">
        <v>10</v>
      </c>
      <c r="AI31" s="2"/>
      <c r="AJ31" s="2">
        <v>122</v>
      </c>
      <c r="AK31" s="2" t="s">
        <v>35</v>
      </c>
      <c r="AL31" s="2">
        <v>8.5299999999999994</v>
      </c>
      <c r="AM31" s="2" t="s">
        <v>39</v>
      </c>
      <c r="AN31" s="2">
        <f t="shared" si="0"/>
        <v>0</v>
      </c>
      <c r="AO31">
        <f t="shared" si="1"/>
        <v>12.5</v>
      </c>
      <c r="AR31" t="s">
        <v>100</v>
      </c>
      <c r="AS31" s="8" t="s">
        <v>104</v>
      </c>
      <c r="AT31" t="s">
        <v>107</v>
      </c>
    </row>
    <row r="32" spans="1:46" x14ac:dyDescent="0.25">
      <c r="A32" s="2" t="s">
        <v>28</v>
      </c>
      <c r="B32" s="2" t="s">
        <v>86</v>
      </c>
      <c r="C32" s="2" t="s">
        <v>60</v>
      </c>
      <c r="D32" s="2" t="s">
        <v>31</v>
      </c>
      <c r="E32" s="2">
        <v>0.23</v>
      </c>
      <c r="F32" s="2" t="s">
        <v>61</v>
      </c>
      <c r="G32" s="2"/>
      <c r="H32" s="2"/>
      <c r="I32" s="2"/>
      <c r="J32" s="2"/>
      <c r="K32" s="2">
        <v>946</v>
      </c>
      <c r="L32" s="2" t="s">
        <v>62</v>
      </c>
      <c r="M32" s="2"/>
      <c r="N32" s="2">
        <f>(AC32/AB32)*Z32*SQRT((V32-W32)/(X32-Y32))</f>
        <v>442.21843342079586</v>
      </c>
      <c r="O32" s="2"/>
      <c r="P32" s="2">
        <f>(N32-AA32)*946</f>
        <v>307089.03801607288</v>
      </c>
      <c r="Q32" s="2">
        <v>255000</v>
      </c>
      <c r="R32" s="2" t="s">
        <v>63</v>
      </c>
      <c r="S32" s="2" t="s">
        <v>84</v>
      </c>
      <c r="T32" s="2">
        <v>80</v>
      </c>
      <c r="U32" s="2">
        <v>80</v>
      </c>
      <c r="V32" s="2">
        <v>170</v>
      </c>
      <c r="W32" s="2">
        <v>80</v>
      </c>
      <c r="X32" s="2">
        <v>120</v>
      </c>
      <c r="Y32" s="2">
        <v>50</v>
      </c>
      <c r="Z32" s="2">
        <v>294</v>
      </c>
      <c r="AA32" s="2">
        <f>Z32*0.4</f>
        <v>117.60000000000001</v>
      </c>
      <c r="AB32" s="2">
        <v>39.200000000000003</v>
      </c>
      <c r="AC32" s="2">
        <v>52</v>
      </c>
      <c r="AD32" s="2">
        <v>10</v>
      </c>
      <c r="AE32" s="2">
        <v>10</v>
      </c>
      <c r="AF32" s="2" t="s">
        <v>85</v>
      </c>
      <c r="AG32" s="2">
        <v>0</v>
      </c>
      <c r="AH32" s="2">
        <v>10</v>
      </c>
      <c r="AI32" s="2"/>
      <c r="AJ32" s="2">
        <v>122</v>
      </c>
      <c r="AK32" s="2" t="s">
        <v>35</v>
      </c>
      <c r="AL32" s="2">
        <v>8.5299999999999994</v>
      </c>
      <c r="AM32" s="2" t="s">
        <v>39</v>
      </c>
      <c r="AN32" s="2">
        <f t="shared" si="0"/>
        <v>0</v>
      </c>
      <c r="AO32">
        <f t="shared" si="1"/>
        <v>12.5</v>
      </c>
      <c r="AR32" t="s">
        <v>100</v>
      </c>
      <c r="AS32" s="8" t="s">
        <v>104</v>
      </c>
      <c r="AT3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C48C-495F-4AE1-B995-D4166967F332}">
  <dimension ref="A2:C22"/>
  <sheetViews>
    <sheetView workbookViewId="0">
      <selection activeCell="B7" sqref="B7"/>
    </sheetView>
  </sheetViews>
  <sheetFormatPr defaultRowHeight="15" x14ac:dyDescent="0.25"/>
  <sheetData>
    <row r="2" spans="1:3" x14ac:dyDescent="0.25">
      <c r="A2" t="s">
        <v>111</v>
      </c>
      <c r="B2">
        <v>1.0132000000000001</v>
      </c>
    </row>
    <row r="3" spans="1:3" x14ac:dyDescent="0.25">
      <c r="A3" t="s">
        <v>112</v>
      </c>
      <c r="B3">
        <v>2000</v>
      </c>
      <c r="C3" t="s">
        <v>63</v>
      </c>
    </row>
    <row r="4" spans="1:3" x14ac:dyDescent="0.25">
      <c r="A4" t="s">
        <v>113</v>
      </c>
      <c r="B4">
        <v>55</v>
      </c>
    </row>
    <row r="5" spans="1:3" x14ac:dyDescent="0.25">
      <c r="A5" t="s">
        <v>114</v>
      </c>
      <c r="B5">
        <v>40</v>
      </c>
    </row>
    <row r="6" spans="1:3" x14ac:dyDescent="0.25">
      <c r="A6" t="s">
        <v>115</v>
      </c>
      <c r="B6">
        <v>8.6999999999999993</v>
      </c>
    </row>
    <row r="7" spans="1:3" x14ac:dyDescent="0.25">
      <c r="A7" t="s">
        <v>116</v>
      </c>
      <c r="B7">
        <v>16.739999999999998</v>
      </c>
    </row>
    <row r="8" spans="1:3" x14ac:dyDescent="0.25">
      <c r="A8" t="s">
        <v>117</v>
      </c>
      <c r="B8">
        <v>0.92</v>
      </c>
    </row>
    <row r="9" spans="1:3" x14ac:dyDescent="0.25">
      <c r="A9" t="s">
        <v>7</v>
      </c>
      <c r="B9">
        <v>1.28</v>
      </c>
    </row>
    <row r="10" spans="1:3" x14ac:dyDescent="0.25">
      <c r="A10" t="s">
        <v>118</v>
      </c>
      <c r="B10">
        <v>0.1</v>
      </c>
    </row>
    <row r="11" spans="1:3" x14ac:dyDescent="0.25">
      <c r="A11" t="s">
        <v>121</v>
      </c>
      <c r="B11">
        <f>B6/B4</f>
        <v>0.15818181818181817</v>
      </c>
    </row>
    <row r="12" spans="1:3" x14ac:dyDescent="0.25">
      <c r="A12" t="s">
        <v>122</v>
      </c>
    </row>
    <row r="13" spans="1:3" x14ac:dyDescent="0.25">
      <c r="A13" t="s">
        <v>123</v>
      </c>
      <c r="B13">
        <f>B4*(1+B10)+B2</f>
        <v>61.513200000000005</v>
      </c>
      <c r="C13" t="s">
        <v>124</v>
      </c>
    </row>
    <row r="14" spans="1:3" x14ac:dyDescent="0.25">
      <c r="A14" t="s">
        <v>125</v>
      </c>
      <c r="B14">
        <f>(2/(B9+1))^(B9/(B9-1))</f>
        <v>0.54936822521158291</v>
      </c>
    </row>
    <row r="15" spans="1:3" x14ac:dyDescent="0.25">
      <c r="A15" t="s">
        <v>126</v>
      </c>
      <c r="B15">
        <f>B13*B14</f>
        <v>33.793397511085146</v>
      </c>
      <c r="C15" t="s">
        <v>124</v>
      </c>
    </row>
    <row r="16" spans="1:3" x14ac:dyDescent="0.25">
      <c r="A16" t="s">
        <v>127</v>
      </c>
      <c r="B16">
        <f>0.03948*SQRT((B9)*((2/(B9+1))^((B9+1)/(B9-1))))</f>
        <v>2.619980694700472E-2</v>
      </c>
    </row>
    <row r="17" spans="1:3" x14ac:dyDescent="0.25">
      <c r="A17" t="s">
        <v>128</v>
      </c>
      <c r="B17">
        <v>1</v>
      </c>
    </row>
    <row r="18" spans="1:3" x14ac:dyDescent="0.25">
      <c r="A18" t="s">
        <v>129</v>
      </c>
      <c r="B18">
        <v>1</v>
      </c>
    </row>
    <row r="19" spans="1:3" x14ac:dyDescent="0.25">
      <c r="A19" t="s">
        <v>130</v>
      </c>
      <c r="B19">
        <v>0.97499999999999998</v>
      </c>
    </row>
    <row r="20" spans="1:3" x14ac:dyDescent="0.25">
      <c r="A20" t="s">
        <v>131</v>
      </c>
      <c r="B20">
        <f>(B3/(B16*B17*B18*B19*(B13*100)))*SQRT((B5+273)*B8/B7)</f>
        <v>52.789472721417049</v>
      </c>
      <c r="C20" t="s">
        <v>132</v>
      </c>
    </row>
    <row r="21" spans="1:3" x14ac:dyDescent="0.25">
      <c r="A21" t="s">
        <v>131</v>
      </c>
      <c r="B21">
        <f>B20/(25.4^2)</f>
        <v>8.1823846365889158E-2</v>
      </c>
      <c r="C21" t="s">
        <v>133</v>
      </c>
    </row>
    <row r="22" spans="1:3" x14ac:dyDescent="0.25">
      <c r="B22" t="str">
        <f>IF(B6&lt;=B15,"critical flow","subcriticalflow")</f>
        <v>critical flow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6C85C-9A3E-42F1-B231-0CA57BEFFCA3}">
  <dimension ref="A2:C22"/>
  <sheetViews>
    <sheetView workbookViewId="0">
      <selection activeCell="A2" sqref="A2:C22"/>
    </sheetView>
  </sheetViews>
  <sheetFormatPr defaultRowHeight="15" x14ac:dyDescent="0.25"/>
  <sheetData>
    <row r="2" spans="1:3" x14ac:dyDescent="0.25">
      <c r="A2" t="s">
        <v>111</v>
      </c>
      <c r="B2">
        <v>1.0132000000000001</v>
      </c>
    </row>
    <row r="3" spans="1:3" x14ac:dyDescent="0.25">
      <c r="A3" t="s">
        <v>112</v>
      </c>
      <c r="B3">
        <v>27700</v>
      </c>
      <c r="C3" t="s">
        <v>63</v>
      </c>
    </row>
    <row r="4" spans="1:3" x14ac:dyDescent="0.25">
      <c r="A4" t="s">
        <v>113</v>
      </c>
      <c r="B4">
        <v>55</v>
      </c>
    </row>
    <row r="5" spans="1:3" x14ac:dyDescent="0.25">
      <c r="A5" t="s">
        <v>114</v>
      </c>
      <c r="B5">
        <v>40</v>
      </c>
    </row>
    <row r="6" spans="1:3" x14ac:dyDescent="0.25">
      <c r="A6" t="s">
        <v>115</v>
      </c>
      <c r="B6">
        <v>10.1</v>
      </c>
    </row>
    <row r="7" spans="1:3" x14ac:dyDescent="0.25">
      <c r="A7" t="s">
        <v>116</v>
      </c>
      <c r="B7">
        <v>16.739999999999998</v>
      </c>
    </row>
    <row r="8" spans="1:3" x14ac:dyDescent="0.25">
      <c r="A8" t="s">
        <v>117</v>
      </c>
      <c r="B8">
        <v>0.99</v>
      </c>
    </row>
    <row r="9" spans="1:3" x14ac:dyDescent="0.25">
      <c r="A9" t="s">
        <v>7</v>
      </c>
      <c r="B9">
        <v>1.3</v>
      </c>
    </row>
    <row r="10" spans="1:3" x14ac:dyDescent="0.25">
      <c r="A10" t="s">
        <v>118</v>
      </c>
      <c r="B10">
        <v>0.1</v>
      </c>
    </row>
    <row r="11" spans="1:3" x14ac:dyDescent="0.25">
      <c r="A11" t="s">
        <v>121</v>
      </c>
      <c r="B11">
        <f>B6/B4</f>
        <v>0.18363636363636363</v>
      </c>
    </row>
    <row r="12" spans="1:3" x14ac:dyDescent="0.25">
      <c r="A12" t="s">
        <v>122</v>
      </c>
    </row>
    <row r="13" spans="1:3" x14ac:dyDescent="0.25">
      <c r="A13" t="s">
        <v>123</v>
      </c>
      <c r="B13">
        <f>B4*(1+B10)+B2</f>
        <v>61.513200000000005</v>
      </c>
      <c r="C13" t="s">
        <v>124</v>
      </c>
    </row>
    <row r="14" spans="1:3" x14ac:dyDescent="0.25">
      <c r="A14" t="s">
        <v>125</v>
      </c>
      <c r="B14">
        <f>(2/(B9+1))^(B9/(B9-1))</f>
        <v>0.54572773381406503</v>
      </c>
    </row>
    <row r="15" spans="1:3" x14ac:dyDescent="0.25">
      <c r="A15" t="s">
        <v>126</v>
      </c>
      <c r="B15">
        <f>B13*B14</f>
        <v>33.569459235651351</v>
      </c>
      <c r="C15" t="s">
        <v>124</v>
      </c>
    </row>
    <row r="16" spans="1:3" x14ac:dyDescent="0.25">
      <c r="A16" t="s">
        <v>127</v>
      </c>
      <c r="B16">
        <f>0.03948*SQRT((B9)*((2/(B9+1))^((B9+1)/(B9-1))))</f>
        <v>2.6343517626989228E-2</v>
      </c>
    </row>
    <row r="17" spans="1:3" x14ac:dyDescent="0.25">
      <c r="A17" t="s">
        <v>128</v>
      </c>
      <c r="B17">
        <v>1</v>
      </c>
    </row>
    <row r="18" spans="1:3" x14ac:dyDescent="0.25">
      <c r="A18" t="s">
        <v>129</v>
      </c>
      <c r="B18">
        <v>1</v>
      </c>
    </row>
    <row r="19" spans="1:3" x14ac:dyDescent="0.25">
      <c r="A19" t="s">
        <v>130</v>
      </c>
      <c r="B19">
        <v>0.97499999999999998</v>
      </c>
    </row>
    <row r="20" spans="1:3" x14ac:dyDescent="0.25">
      <c r="A20" t="s">
        <v>131</v>
      </c>
      <c r="B20">
        <f>(B3/(B16*B17*B18*B19*(B13*100)))*SQRT((B5+273)*B8/B7)</f>
        <v>754.30173550880454</v>
      </c>
      <c r="C20" t="s">
        <v>132</v>
      </c>
    </row>
    <row r="21" spans="1:3" x14ac:dyDescent="0.25">
      <c r="A21" t="s">
        <v>131</v>
      </c>
      <c r="B21">
        <f>B20/(25.4^2)</f>
        <v>1.1691700283787039</v>
      </c>
      <c r="C21" t="s">
        <v>133</v>
      </c>
    </row>
    <row r="22" spans="1:3" x14ac:dyDescent="0.25">
      <c r="B22" t="str">
        <f>IF(B6&lt;=B15,"critical flow","subcriticalflow")</f>
        <v>critical flow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885B7-AD1B-4CE3-B799-F7E880444E27}">
  <dimension ref="A2:C22"/>
  <sheetViews>
    <sheetView workbookViewId="0">
      <selection activeCell="A2" sqref="A2:C22"/>
    </sheetView>
  </sheetViews>
  <sheetFormatPr defaultRowHeight="15" x14ac:dyDescent="0.25"/>
  <sheetData>
    <row r="2" spans="1:3" x14ac:dyDescent="0.25">
      <c r="A2" t="s">
        <v>111</v>
      </c>
      <c r="B2">
        <v>1.0132000000000001</v>
      </c>
    </row>
    <row r="3" spans="1:3" x14ac:dyDescent="0.25">
      <c r="A3" t="s">
        <v>112</v>
      </c>
      <c r="B3">
        <v>4000</v>
      </c>
      <c r="C3" t="s">
        <v>63</v>
      </c>
    </row>
    <row r="4" spans="1:3" x14ac:dyDescent="0.25">
      <c r="A4" t="s">
        <v>113</v>
      </c>
      <c r="B4">
        <v>60</v>
      </c>
    </row>
    <row r="5" spans="1:3" x14ac:dyDescent="0.25">
      <c r="A5" t="s">
        <v>114</v>
      </c>
      <c r="B5">
        <v>48</v>
      </c>
    </row>
    <row r="6" spans="1:3" x14ac:dyDescent="0.25">
      <c r="A6" t="s">
        <v>115</v>
      </c>
      <c r="B6">
        <v>9</v>
      </c>
    </row>
    <row r="7" spans="1:3" x14ac:dyDescent="0.25">
      <c r="A7" t="s">
        <v>116</v>
      </c>
      <c r="B7">
        <v>9.3699999999999992</v>
      </c>
    </row>
    <row r="8" spans="1:3" x14ac:dyDescent="0.25">
      <c r="A8" t="s">
        <v>117</v>
      </c>
      <c r="B8">
        <v>1.02</v>
      </c>
    </row>
    <row r="9" spans="1:3" x14ac:dyDescent="0.25">
      <c r="A9" t="s">
        <v>7</v>
      </c>
      <c r="B9">
        <v>1.39</v>
      </c>
    </row>
    <row r="10" spans="1:3" x14ac:dyDescent="0.25">
      <c r="A10" t="s">
        <v>118</v>
      </c>
      <c r="B10">
        <v>0.1</v>
      </c>
    </row>
    <row r="11" spans="1:3" x14ac:dyDescent="0.25">
      <c r="A11" t="s">
        <v>121</v>
      </c>
      <c r="B11">
        <f>B6/B4</f>
        <v>0.15</v>
      </c>
    </row>
    <row r="12" spans="1:3" x14ac:dyDescent="0.25">
      <c r="A12" t="s">
        <v>122</v>
      </c>
    </row>
    <row r="13" spans="1:3" x14ac:dyDescent="0.25">
      <c r="A13" t="s">
        <v>123</v>
      </c>
      <c r="B13">
        <f>B4*(1+B10)+B2</f>
        <v>67.013199999999998</v>
      </c>
      <c r="C13" t="s">
        <v>124</v>
      </c>
    </row>
    <row r="14" spans="1:3" x14ac:dyDescent="0.25">
      <c r="A14" t="s">
        <v>125</v>
      </c>
      <c r="B14">
        <f>(2/(B9+1))^(B9/(B9-1))</f>
        <v>0.52997190879706391</v>
      </c>
    </row>
    <row r="15" spans="1:3" x14ac:dyDescent="0.25">
      <c r="A15" t="s">
        <v>126</v>
      </c>
      <c r="B15">
        <f>B13*B14</f>
        <v>35.515113518599399</v>
      </c>
      <c r="C15" t="s">
        <v>124</v>
      </c>
    </row>
    <row r="16" spans="1:3" x14ac:dyDescent="0.25">
      <c r="A16" t="s">
        <v>127</v>
      </c>
      <c r="B16">
        <f>0.03948*SQRT((B9)*((2/(B9+1))^((B9+1)/(B9-1))))</f>
        <v>2.6966299095212334E-2</v>
      </c>
    </row>
    <row r="17" spans="1:3" x14ac:dyDescent="0.25">
      <c r="A17" t="s">
        <v>128</v>
      </c>
      <c r="B17">
        <v>1</v>
      </c>
    </row>
    <row r="18" spans="1:3" x14ac:dyDescent="0.25">
      <c r="A18" t="s">
        <v>129</v>
      </c>
      <c r="B18">
        <v>1</v>
      </c>
    </row>
    <row r="19" spans="1:3" x14ac:dyDescent="0.25">
      <c r="A19" t="s">
        <v>130</v>
      </c>
      <c r="B19">
        <v>0.97499999999999998</v>
      </c>
    </row>
    <row r="20" spans="1:3" x14ac:dyDescent="0.25">
      <c r="A20" t="s">
        <v>131</v>
      </c>
      <c r="B20">
        <f>(B3/(B16*B17*B18*B19*(B13*100)))*SQRT((B5+273)*B8/B7)</f>
        <v>134.20122444655755</v>
      </c>
      <c r="C20" t="s">
        <v>132</v>
      </c>
    </row>
    <row r="21" spans="1:3" x14ac:dyDescent="0.25">
      <c r="A21" t="s">
        <v>131</v>
      </c>
      <c r="B21">
        <f>B20/(25.4^2)</f>
        <v>0.20801231391679204</v>
      </c>
      <c r="C21" t="s">
        <v>133</v>
      </c>
    </row>
    <row r="22" spans="1:3" x14ac:dyDescent="0.25">
      <c r="B22" t="str">
        <f>IF(B6&lt;=B15,"critical flow","subcriticalflow")</f>
        <v>critical flow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5FB94-874C-467A-93D4-B2C6BB561062}">
  <dimension ref="A2:C27"/>
  <sheetViews>
    <sheetView tabSelected="1" workbookViewId="0">
      <selection activeCell="B6" sqref="B6"/>
    </sheetView>
  </sheetViews>
  <sheetFormatPr defaultRowHeight="15" x14ac:dyDescent="0.25"/>
  <sheetData>
    <row r="2" spans="1:3" x14ac:dyDescent="0.25">
      <c r="A2" t="s">
        <v>111</v>
      </c>
      <c r="B2">
        <v>1.0132000000000001</v>
      </c>
    </row>
    <row r="3" spans="1:3" x14ac:dyDescent="0.25">
      <c r="A3" t="s">
        <v>112</v>
      </c>
      <c r="B3">
        <v>41800</v>
      </c>
      <c r="C3" t="s">
        <v>63</v>
      </c>
    </row>
    <row r="4" spans="1:3" x14ac:dyDescent="0.25">
      <c r="A4" t="s">
        <v>113</v>
      </c>
      <c r="B4">
        <v>7</v>
      </c>
    </row>
    <row r="5" spans="1:3" x14ac:dyDescent="0.25">
      <c r="A5" t="s">
        <v>114</v>
      </c>
      <c r="B5">
        <v>48</v>
      </c>
    </row>
    <row r="6" spans="1:3" x14ac:dyDescent="0.25">
      <c r="A6" t="s">
        <v>115</v>
      </c>
      <c r="B6">
        <v>10</v>
      </c>
    </row>
    <row r="7" spans="1:3" x14ac:dyDescent="0.25">
      <c r="A7" t="s">
        <v>116</v>
      </c>
      <c r="B7">
        <v>9.3699999999999992</v>
      </c>
    </row>
    <row r="8" spans="1:3" x14ac:dyDescent="0.25">
      <c r="A8" t="s">
        <v>117</v>
      </c>
      <c r="B8">
        <v>1</v>
      </c>
    </row>
    <row r="9" spans="1:3" x14ac:dyDescent="0.25">
      <c r="A9" t="s">
        <v>7</v>
      </c>
      <c r="B9">
        <v>1.38</v>
      </c>
    </row>
    <row r="10" spans="1:3" x14ac:dyDescent="0.25">
      <c r="A10" t="s">
        <v>118</v>
      </c>
      <c r="B10">
        <v>0.1</v>
      </c>
    </row>
    <row r="11" spans="1:3" x14ac:dyDescent="0.25">
      <c r="A11" t="s">
        <v>121</v>
      </c>
      <c r="B11">
        <f>B6/B4</f>
        <v>1.4285714285714286</v>
      </c>
    </row>
    <row r="12" spans="1:3" x14ac:dyDescent="0.25">
      <c r="A12" t="s">
        <v>122</v>
      </c>
    </row>
    <row r="13" spans="1:3" x14ac:dyDescent="0.25">
      <c r="A13" t="s">
        <v>123</v>
      </c>
      <c r="B13">
        <f>B4*(1+B10)+B2</f>
        <v>8.7132000000000005</v>
      </c>
      <c r="C13" t="s">
        <v>124</v>
      </c>
    </row>
    <row r="14" spans="1:3" x14ac:dyDescent="0.25">
      <c r="A14" t="s">
        <v>125</v>
      </c>
      <c r="B14">
        <f>(2/(B9+1))^(B9/(B9-1))</f>
        <v>0.53167378278377397</v>
      </c>
    </row>
    <row r="15" spans="1:3" x14ac:dyDescent="0.25">
      <c r="A15" t="s">
        <v>126</v>
      </c>
      <c r="B15">
        <f>B13*B14</f>
        <v>4.6325800041515794</v>
      </c>
      <c r="C15" t="s">
        <v>124</v>
      </c>
    </row>
    <row r="16" spans="1:3" x14ac:dyDescent="0.25">
      <c r="A16" t="s">
        <v>127</v>
      </c>
      <c r="B16">
        <f>0.03948*SQRT((B9)*((2/(B9+1))^((B9+1)/(B9-1))))</f>
        <v>2.6898955308461144E-2</v>
      </c>
    </row>
    <row r="17" spans="1:3" x14ac:dyDescent="0.25">
      <c r="A17" t="s">
        <v>128</v>
      </c>
      <c r="B17">
        <v>1</v>
      </c>
    </row>
    <row r="18" spans="1:3" x14ac:dyDescent="0.25">
      <c r="A18" t="s">
        <v>129</v>
      </c>
      <c r="B18">
        <v>1</v>
      </c>
    </row>
    <row r="19" spans="1:3" x14ac:dyDescent="0.25">
      <c r="A19" t="s">
        <v>130</v>
      </c>
      <c r="B19">
        <v>0.97499999999999998</v>
      </c>
    </row>
    <row r="20" spans="1:3" x14ac:dyDescent="0.25">
      <c r="A20" t="s">
        <v>131</v>
      </c>
      <c r="B20">
        <f>(17.9*B3/(B23*B17*B18*B19*(1)))*SQRT((B5+273)*B8/(B7*(10000*B13)*((B6+B2)-B13)))</f>
        <v>8644.6548437668389</v>
      </c>
      <c r="C20" t="s">
        <v>132</v>
      </c>
    </row>
    <row r="21" spans="1:3" x14ac:dyDescent="0.25">
      <c r="A21" t="s">
        <v>131</v>
      </c>
      <c r="B21">
        <f>B20/(25.4^2)</f>
        <v>13.399241806322214</v>
      </c>
      <c r="C21" t="s">
        <v>133</v>
      </c>
    </row>
    <row r="22" spans="1:3" x14ac:dyDescent="0.25">
      <c r="B22" t="str">
        <f>IF(B6&lt;=B15,"critical flow","subcriticalflow")</f>
        <v>subcriticalflow</v>
      </c>
    </row>
    <row r="23" spans="1:3" x14ac:dyDescent="0.25">
      <c r="A23" t="s">
        <v>134</v>
      </c>
      <c r="B23">
        <f>B25*(B24^B26)*((1-(B24^B27))/(1-B24))</f>
        <v>1.1606652997118325</v>
      </c>
    </row>
    <row r="24" spans="1:3" x14ac:dyDescent="0.25">
      <c r="A24" t="s">
        <v>135</v>
      </c>
      <c r="B24">
        <f>B6/B13</f>
        <v>1.1476839737409905</v>
      </c>
    </row>
    <row r="25" spans="1:3" x14ac:dyDescent="0.25">
      <c r="A25" t="s">
        <v>136</v>
      </c>
      <c r="B25">
        <f>B9/(B9-1)</f>
        <v>3.6315789473684217</v>
      </c>
    </row>
    <row r="26" spans="1:3" x14ac:dyDescent="0.25">
      <c r="A26" t="s">
        <v>137</v>
      </c>
      <c r="B26">
        <f>2/B9</f>
        <v>1.4492753623188408</v>
      </c>
    </row>
    <row r="27" spans="1:3" x14ac:dyDescent="0.25">
      <c r="A27" t="s">
        <v>138</v>
      </c>
      <c r="B27">
        <f>1/B25</f>
        <v>0.27536231884057966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Conventional-critical</vt:lpstr>
      <vt:lpstr>Sheet1</vt:lpstr>
      <vt:lpstr>PSV-1008-1009</vt:lpstr>
      <vt:lpstr>PSV-1013-1014</vt:lpstr>
      <vt:lpstr>PSV-2604-2605</vt:lpstr>
      <vt:lpstr>PSV-3173-3174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Behrouzi Mohamadreza</dc:creator>
  <cp:lastModifiedBy>Behrouzi Mohamadreza</cp:lastModifiedBy>
  <dcterms:created xsi:type="dcterms:W3CDTF">2015-06-05T18:17:20Z</dcterms:created>
  <dcterms:modified xsi:type="dcterms:W3CDTF">2022-07-08T14:08:32Z</dcterms:modified>
</cp:coreProperties>
</file>